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XCdQb6N1x6lYosQ8lR8Ys6r23vg/hJH0w20SCrRt4XQXxADWqsl2sWAaV8/jpOhGgpj6lJeRvG8yyZINCUxMVg==" workbookSaltValue="AUBXG1GtiTavpIgqaqrpW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3" i="17" s="1"/>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ER19" i="8"/>
  <c r="EQ19" i="8"/>
  <c r="BA13" i="16"/>
  <c r="AC17" i="11"/>
  <c r="G18" i="12"/>
  <c r="W19" i="13"/>
  <c r="R8" i="9"/>
  <c r="BH11" i="16" s="1"/>
  <c r="AL13" i="16"/>
  <c r="S13" i="16"/>
  <c r="P13" i="16"/>
  <c r="AN13" i="20"/>
  <c r="M18" i="2"/>
  <c r="T13" i="12"/>
  <c r="V9" i="11"/>
  <c r="AP17" i="20"/>
  <c r="BW11" i="20"/>
  <c r="Q17" i="17"/>
  <c r="BF15" i="11"/>
  <c r="BG12" i="8"/>
  <c r="BD9" i="8"/>
  <c r="BF9" i="8"/>
  <c r="BA13" i="8"/>
  <c r="I19" i="8"/>
  <c r="E13" i="17"/>
  <c r="L17" i="2"/>
  <c r="T13" i="20"/>
  <c r="T13" i="16"/>
  <c r="AP13" i="16"/>
  <c r="T18" i="17"/>
  <c r="BG15" i="13"/>
  <c r="J20" i="20"/>
  <c r="AF20" i="20"/>
  <c r="M20" i="20"/>
  <c r="AG20" i="20"/>
  <c r="S20" i="20"/>
  <c r="F20" i="20"/>
  <c r="K20" i="20"/>
  <c r="Z20" i="20"/>
  <c r="AM20" i="20"/>
  <c r="AK20" i="20"/>
  <c r="W20" i="21"/>
  <c r="AJ19" i="8" l="1"/>
  <c r="AR18" i="11"/>
  <c r="AN17" i="11"/>
  <c r="D18" i="12"/>
  <c r="E18" i="12"/>
  <c r="G15" i="3"/>
  <c r="H13" i="12"/>
  <c r="AA19" i="8"/>
  <c r="D13" i="7"/>
  <c r="B13" i="7"/>
  <c r="C19" i="3"/>
  <c r="D17" i="6"/>
  <c r="BD15" i="13"/>
  <c r="BF17" i="11"/>
  <c r="BL16" i="11"/>
  <c r="S10" i="17"/>
  <c r="BU12" i="17"/>
  <c r="BU10" i="17"/>
  <c r="BG9" i="11"/>
  <c r="S9" i="17"/>
  <c r="BH17" i="16"/>
  <c r="BG9" i="8"/>
  <c r="BE9" i="8"/>
  <c r="BD15" i="8"/>
  <c r="H15" i="7" s="1"/>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I10" i="7" s="1"/>
  <c r="BE11" i="8"/>
  <c r="I11" i="7" s="1"/>
  <c r="BE12" i="8"/>
  <c r="I12" i="7" s="1"/>
  <c r="AM11" i="11"/>
  <c r="AO9" i="11"/>
  <c r="AM12" i="11"/>
  <c r="F15" i="2"/>
  <c r="AL17" i="11"/>
  <c r="D15" i="6"/>
  <c r="C17" i="6"/>
  <c r="C15" i="6"/>
  <c r="F16" i="11"/>
  <c r="AP12" i="11"/>
  <c r="AP10" i="11"/>
  <c r="Y17" i="11"/>
  <c r="J13" i="11"/>
  <c r="N9" i="11"/>
  <c r="Q9" i="11" s="1"/>
  <c r="F12" i="11"/>
  <c r="AQ12" i="11" s="1"/>
  <c r="F11" i="11"/>
  <c r="F17" i="16"/>
  <c r="BL17" i="16" s="1"/>
  <c r="F11" i="17"/>
  <c r="AQ11" i="17" s="1"/>
  <c r="G9" i="12"/>
  <c r="Y11" i="11"/>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T20" i="21"/>
  <c r="AJ20" i="20"/>
  <c r="Q20" i="20"/>
  <c r="AQ20" i="21"/>
  <c r="AU20" i="20"/>
  <c r="AD20" i="20"/>
  <c r="G18" i="14"/>
  <c r="AL20" i="20"/>
  <c r="AI20" i="20"/>
  <c r="U16" i="11"/>
  <c r="AV20" i="20"/>
  <c r="Y20" i="20"/>
  <c r="O10" i="11"/>
  <c r="U12" i="11"/>
  <c r="U10" i="11"/>
  <c r="AA20" i="20"/>
  <c r="E20" i="20"/>
  <c r="AZ20" i="20"/>
  <c r="I11" i="12" l="1"/>
  <c r="K9" i="12"/>
  <c r="P18" i="17"/>
  <c r="P19" i="17" s="1"/>
  <c r="BK13" i="11"/>
  <c r="I12" i="12"/>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O20" i="20"/>
  <c r="H20" i="20"/>
  <c r="AB20" i="20"/>
  <c r="O16" i="11"/>
  <c r="H20" i="17"/>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20" i="17"/>
  <c r="AN20" i="11"/>
  <c r="J20" i="11"/>
  <c r="AS20" i="17"/>
  <c r="BN20" i="16"/>
  <c r="AW20" i="21"/>
  <c r="M20" i="17"/>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AZ20" i="16"/>
  <c r="Z20" i="17"/>
  <c r="BH20" i="16"/>
  <c r="BK20" i="16"/>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<sst xmlns="http://schemas.openxmlformats.org/spreadsheetml/2006/main" count="2080" uniqueCount="913">
  <si>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</si>
  <si>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</si>
  <si>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</si>
  <si>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</si>
  <si>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</si>
  <si>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</si>
  <si>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</si>
  <si>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</si>
  <si>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</si>
  <si>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</si>
  <si>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</si>
  <si>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</si>
  <si>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</si>
  <si>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</si>
  <si>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</si>
  <si>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</si>
  <si>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</si>
  <si>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</si>
  <si>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</si>
  <si>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</si>
  <si>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</si>
  <si>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</si>
  <si>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</si>
  <si>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</si>
  <si>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</si>
  <si>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</si>
  <si>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</si>
  <si>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</si>
  <si>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</si>
  <si>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</si>
  <si>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</si>
  <si>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</si>
  <si>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</si>
  <si>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</si>
  <si>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</si>
  <si>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</si>
  <si>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</si>
  <si>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</si>
  <si>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</si>
  <si>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</si>
  <si>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</si>
  <si>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</si>
  <si>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</si>
  <si>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</si>
  <si>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</si>
  <si>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</si>
  <si>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</si>
  <si>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</si>
  <si>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</si>
  <si>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</si>
  <si>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</si>
  <si>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</si>
  <si>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</si>
  <si>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</si>
  <si>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</si>
  <si>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</si>
  <si>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</si>
  <si>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</si>
  <si>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</si>
  <si>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</si>
  <si>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</si>
  <si>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</si>
  <si>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</si>
  <si>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</si>
  <si>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</si>
  <si>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</si>
  <si>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</si>
  <si>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</si>
  <si>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</si>
  <si>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</si>
  <si>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</si>
  <si>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</si>
  <si>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</si>
  <si>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</si>
  <si>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</si>
  <si>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</si>
  <si>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</si>
  <si>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</si>
  <si>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</si>
  <si>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</si>
  <si>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</si>
  <si>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</si>
  <si>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</si>
  <si>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</si>
  <si>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</si>
  <si>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</si>
  <si>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</si>
  <si>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</si>
  <si>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</si>
  <si>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</si>
  <si>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</si>
  <si>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</si>
  <si>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</si>
  <si>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</si>
  <si>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</si>
  <si>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</si>
  <si>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</si>
  <si>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</si>
  <si>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</si>
  <si>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</si>
  <si>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</si>
  <si>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</si>
  <si>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</si>
  <si>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</si>
  <si>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</si>
  <si>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</si>
  <si>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</si>
  <si>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</si>
  <si>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</si>
  <si>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</si>
  <si>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</si>
  <si>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</si>
  <si>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</si>
  <si>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</si>
  <si>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</si>
  <si>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</si>
  <si>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</si>
  <si>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</si>
  <si>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</si>
  <si>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</si>
  <si>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</si>
  <si>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</si>
  <si>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</si>
  <si>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</si>
  <si>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</si>
  <si>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</si>
  <si>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</si>
  <si>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</si>
  <si>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</si>
  <si>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</si>
  <si>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</si>
  <si>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</si>
  <si>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</si>
  <si>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</si>
  <si>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</si>
  <si>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</si>
  <si>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</si>
  <si>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</si>
  <si>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</si>
  <si>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</si>
  <si>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</si>
  <si>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</si>
  <si>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</si>
  <si>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</si>
  <si>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</si>
  <si>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</si>
  <si>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</si>
  <si>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</si>
  <si>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</si>
  <si>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</si>
  <si>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</si>
  <si>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</si>
  <si>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</si>
  <si>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</si>
  <si>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</si>
  <si>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</si>
  <si>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</si>
  <si>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</si>
  <si>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</si>
  <si>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</si>
  <si>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</si>
  <si>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</si>
  <si>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</si>
  <si>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</si>
  <si>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</si>
  <si>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</si>
  <si>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</si>
  <si>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</si>
  <si>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</si>
  <si>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</si>
  <si>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</si>
  <si>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</si>
  <si>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</si>
  <si>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</si>
  <si>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</si>
  <si>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</si>
  <si>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</si>
  <si>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</si>
  <si>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</si>
  <si>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</si>
  <si>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</si>
  <si>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</si>
  <si>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</si>
  <si>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</si>
  <si>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</si>
  <si>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</si>
  <si>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</si>
  <si>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</si>
  <si>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</si>
  <si>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</si>
  <si>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</si>
  <si>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</si>
  <si>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</si>
  <si>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</si>
  <si>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</si>
  <si>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</si>
  <si>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</si>
  <si>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</si>
  <si>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</si>
  <si>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</si>
  <si>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</si>
  <si>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</si>
  <si>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</si>
  <si>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</si>
  <si>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</si>
  <si>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</si>
  <si>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</si>
  <si>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</si>
  <si>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</si>
  <si>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</si>
  <si>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</si>
  <si>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</si>
  <si>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</si>
  <si>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</si>
  <si>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</si>
  <si>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</si>
  <si>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</si>
  <si>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</si>
  <si>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</si>
  <si>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</si>
  <si>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</si>
  <si>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</si>
  <si>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</si>
  <si>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</si>
  <si>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</si>
  <si>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</si>
  <si>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</si>
  <si>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</si>
  <si>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</si>
  <si>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</si>
  <si>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</si>
  <si>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</si>
  <si>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</si>
  <si>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</si>
  <si>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</si>
  <si>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</si>
  <si>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</si>
  <si>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</si>
  <si>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</si>
  <si>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</si>
  <si>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</si>
  <si>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</si>
  <si>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</si>
  <si>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</si>
  <si>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</si>
  <si>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</si>
  <si>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</si>
  <si>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</si>
  <si>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</si>
  <si>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</si>
  <si>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</si>
  <si>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</si>
  <si>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</si>
  <si>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</si>
  <si>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</si>
  <si>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</si>
  <si>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</si>
  <si>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</si>
  <si>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</si>
  <si>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</si>
  <si>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</si>
  <si>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</si>
  <si>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</si>
  <si>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</si>
  <si>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</si>
  <si>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</si>
  <si>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</si>
  <si>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</si>
  <si>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</si>
  <si>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</si>
  <si>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</si>
  <si>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</si>
  <si>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</si>
  <si>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</si>
  <si>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</si>
  <si>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</si>
  <si>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</si>
  <si>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</si>
  <si>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</si>
  <si>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</si>
  <si>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</si>
  <si>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</si>
  <si>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</si>
  <si>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</si>
  <si>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</si>
  <si>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</si>
  <si>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</si>
  <si>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</si>
  <si>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</si>
  <si>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</si>
  <si>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</si>
  <si>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</si>
  <si>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</si>
  <si>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</si>
  <si>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</si>
  <si>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</si>
  <si>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</si>
  <si>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</si>
  <si>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</si>
  <si>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</si>
  <si>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</si>
  <si>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</si>
  <si>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</si>
  <si>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</si>
  <si>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</si>
  <si>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</si>
  <si>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</si>
  <si>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</si>
  <si>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</si>
  <si>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</si>
  <si>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</si>
  <si>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</si>
  <si>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</si>
  <si>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</si>
  <si>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</si>
  <si>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</si>
  <si>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</si>
  <si>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</si>
  <si>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</si>
  <si>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</si>
  <si>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</si>
  <si>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</si>
  <si>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</si>
  <si>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</si>
  <si>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</si>
  <si>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</si>
  <si>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</si>
  <si>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</si>
  <si>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</si>
  <si>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</si>
  <si>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</si>
  <si>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</si>
  <si>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</si>
  <si>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</si>
  <si>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</si>
  <si>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</si>
  <si>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</si>
  <si>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</si>
  <si>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</si>
  <si>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</si>
  <si>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</si>
  <si>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</si>
  <si>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</si>
  <si>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</si>
  <si>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</si>
  <si>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</si>
  <si>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</si>
  <si>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</si>
  <si>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</si>
  <si>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</si>
  <si>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</si>
  <si>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</si>
  <si>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</si>
  <si>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</si>
  <si>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</si>
  <si>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</si>
  <si>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</si>
  <si>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</si>
  <si>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</si>
  <si>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</si>
  <si>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</si>
  <si>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</si>
  <si>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</si>
  <si>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</si>
  <si>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</si>
  <si>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</si>
  <si>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</si>
  <si>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</si>
  <si>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</si>
  <si>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</si>
  <si>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</si>
  <si>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</si>
  <si>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</si>
  <si>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</si>
  <si>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</si>
  <si>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</si>
  <si>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</si>
  <si>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</si>
  <si>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</si>
  <si>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</si>
  <si>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</si>
  <si>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</si>
  <si>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</si>
  <si>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</si>
  <si>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</si>
  <si>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</si>
  <si>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</si>
  <si>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</si>
  <si>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</si>
  <si>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</si>
  <si>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</si>
  <si>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</si>
  <si>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</si>
  <si>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</si>
  <si>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</si>
  <si>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</si>
  <si>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</si>
  <si>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</si>
  <si>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</si>
  <si>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</si>
  <si>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</si>
  <si>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</si>
  <si>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</si>
  <si>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</si>
  <si>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</si>
  <si>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</si>
  <si>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</si>
  <si>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</si>
  <si>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</si>
  <si>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</si>
  <si>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</si>
  <si>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</si>
  <si>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</si>
  <si>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</si>
  <si>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</si>
  <si>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</si>
  <si>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</si>
  <si>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</si>
  <si>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</si>
  <si>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</si>
  <si>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</si>
  <si>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</si>
  <si>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</si>
  <si>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</si>
  <si>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</si>
  <si>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</si>
  <si>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</si>
  <si>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</si>
  <si>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</si>
  <si>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</si>
  <si>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</si>
  <si>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</si>
  <si>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</si>
  <si>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</si>
  <si>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</si>
  <si>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</si>
  <si>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</si>
  <si>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</si>
  <si>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</si>
  <si>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</si>
  <si>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</si>
  <si>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</si>
  <si>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</si>
  <si>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</si>
  <si>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</si>
  <si>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</si>
  <si>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</si>
  <si>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</si>
  <si>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</si>
  <si>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</si>
  <si>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</si>
  <si>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</si>
  <si>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</si>
  <si>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</si>
  <si>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</si>
  <si>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</si>
  <si>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</si>
  <si>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</si>
  <si>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</si>
  <si>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</si>
  <si>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</si>
  <si>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</si>
  <si>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</si>
  <si>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</si>
  <si>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</si>
  <si>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</si>
  <si>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</si>
  <si>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</si>
  <si>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</si>
  <si>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</si>
  <si>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</si>
  <si>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</si>
  <si>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</si>
  <si>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</si>
  <si>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</si>
  <si>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</si>
  <si>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</si>
  <si>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</si>
  <si>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</si>
  <si>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</si>
  <si>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</si>
  <si>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</si>
  <si>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</si>
  <si>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</si>
  <si>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</si>
  <si>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</si>
  <si>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</si>
  <si>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</si>
  <si>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</si>
  <si>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</si>
  <si>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</si>
  <si>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</si>
  <si>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</si>
  <si>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</si>
  <si>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</si>
  <si>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</si>
  <si>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</si>
  <si>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</si>
  <si>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</si>
  <si>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</si>
  <si>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</si>
  <si>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</si>
  <si>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</si>
  <si>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</si>
  <si>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</si>
  <si>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</si>
  <si>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</si>
  <si>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</si>
  <si>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</si>
  <si>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</si>
  <si>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</si>
  <si>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</si>
  <si>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</si>
  <si>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</si>
  <si>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</si>
  <si>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</si>
  <si>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</si>
  <si>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</si>
  <si>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</si>
  <si>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</si>
  <si>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</si>
  <si>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</si>
  <si>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</si>
  <si>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</si>
  <si>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</si>
  <si>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</si>
  <si>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</si>
  <si>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</si>
  <si>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</si>
  <si>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</si>
  <si>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</si>
  <si>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</si>
  <si>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</si>
  <si>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</si>
  <si>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</si>
  <si>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</si>
  <si>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</si>
  <si>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</si>
  <si>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</si>
  <si>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</si>
  <si>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</si>
  <si>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</si>
  <si>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</si>
  <si>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</si>
  <si>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</si>
  <si>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</si>
  <si>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</si>
  <si>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</si>
  <si>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</si>
  <si>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</si>
  <si>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</si>
  <si>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</si>
  <si>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</si>
  <si>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</si>
  <si>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</si>
  <si>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</si>
  <si>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</si>
  <si>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</si>
  <si>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</si>
  <si>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</si>
  <si>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</si>
  <si>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</si>
  <si>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</si>
  <si>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</si>
  <si>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</si>
  <si>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</si>
  <si>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</si>
  <si>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</si>
  <si>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</si>
  <si>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</si>
  <si>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</si>
  <si>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</si>
  <si>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</si>
  <si>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</si>
  <si>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</si>
  <si>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</si>
  <si>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</si>
  <si>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</si>
  <si>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</si>
  <si>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</si>
  <si>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</si>
  <si>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</si>
  <si>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</si>
  <si>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</si>
  <si>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</si>
  <si>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</si>
  <si>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</si>
  <si>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</si>
  <si>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</si>
  <si>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</si>
  <si>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</si>
  <si>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</si>
  <si>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</si>
  <si>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</si>
  <si>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</si>
  <si>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</si>
  <si>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</si>
  <si>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</si>
  <si>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</si>
  <si>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</si>
  <si>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</si>
  <si>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</si>
  <si>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</si>
  <si>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</si>
  <si>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</si>
  <si>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</si>
  <si>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</si>
  <si>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</si>
  <si>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</si>
  <si>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</si>
  <si>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</si>
  <si>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</si>
  <si>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</si>
  <si>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</si>
  <si>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</si>
  <si>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</si>
  <si>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</si>
  <si>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</si>
  <si>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</si>
  <si>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</si>
  <si>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</si>
  <si>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</si>
  <si>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</si>
  <si>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</si>
  <si>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</si>
  <si>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</si>
  <si>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</si>
  <si>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</si>
  <si>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</si>
  <si>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</si>
  <si>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</si>
  <si>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</si>
  <si>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</si>
  <si>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</si>
  <si>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</si>
  <si>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</si>
  <si>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</si>
  <si>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</si>
  <si>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</si>
  <si>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</si>
  <si>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</si>
  <si>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</si>
  <si>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</si>
  <si>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</si>
  <si>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</si>
  <si>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</si>
  <si>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</si>
  <si>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</si>
  <si>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</si>
  <si>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</si>
  <si>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</si>
  <si>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</si>
  <si>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</si>
  <si>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</si>
  <si>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</si>
  <si>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</si>
  <si>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</si>
  <si>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</si>
  <si>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</si>
  <si>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</si>
  <si>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</si>
  <si>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</si>
  <si>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</si>
  <si>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</si>
  <si>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</si>
  <si>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</si>
  <si>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</si>
  <si>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</si>
  <si>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</si>
  <si>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</si>
  <si>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</si>
  <si>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</si>
  <si>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</si>
  <si>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</si>
  <si>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</si>
  <si>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</si>
  <si>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</si>
  <si>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</si>
  <si>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</si>
  <si>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</si>
  <si>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</si>
  <si>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</si>
  <si>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</si>
  <si>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</si>
  <si>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</si>
  <si>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</si>
  <si>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</si>
  <si>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</si>
  <si>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</si>
  <si>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</si>
  <si>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</si>
  <si>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</si>
  <si>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</si>
  <si>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</si>
  <si>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</si>
  <si>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</si>
  <si>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</si>
  <si>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</si>
  <si>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</si>
  <si>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</si>
  <si>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</si>
  <si>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</si>
  <si>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</si>
  <si>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</si>
  <si>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</si>
  <si>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</si>
  <si>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</si>
  <si>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</si>
  <si>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</si>
  <si>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</si>
  <si>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</si>
  <si>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</si>
  <si>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</si>
  <si>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</si>
  <si>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</si>
  <si>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</si>
  <si>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</si>
  <si>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</si>
  <si>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</si>
  <si>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</si>
  <si>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</si>
  <si>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</si>
  <si>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</si>
  <si>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</si>
  <si>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</si>
  <si>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</si>
  <si>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</si>
  <si>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</si>
  <si>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</si>
  <si>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</si>
  <si>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</si>
  <si>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</si>
  <si>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</si>
  <si>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</si>
  <si>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</si>
  <si>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</si>
  <si>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</si>
  <si>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</si>
  <si>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</si>
  <si>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</si>
  <si>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</si>
  <si>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</si>
  <si>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</si>
  <si>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</si>
  <si>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</si>
  <si>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</si>
  <si>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</si>
  <si>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</si>
  <si>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</si>
  <si>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</si>
  <si>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</si>
  <si>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</si>
  <si>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</si>
  <si>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</si>
  <si>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</si>
  <si>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</si>
  <si>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</si>
  <si>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</si>
  <si>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</si>
  <si>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</si>
  <si>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</si>
  <si>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</si>
  <si>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</si>
  <si>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</si>
  <si>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</si>
  <si>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</si>
  <si>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</si>
  <si>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</si>
  <si>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</si>
  <si>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</si>
  <si>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</si>
  <si>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</si>
  <si>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</si>
  <si>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</si>
  <si>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</si>
  <si>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</si>
  <si>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</si>
  <si>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</si>
  <si>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</si>
  <si>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</si>
  <si>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</si>
  <si>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</si>
  <si>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</si>
  <si>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</si>
  <si>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</si>
  <si>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</si>
  <si>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</si>
  <si>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</si>
  <si>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</si>
  <si>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</si>
  <si>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</si>
  <si>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</si>
  <si>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</si>
  <si>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</si>
  <si>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</si>
  <si>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</si>
  <si>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</si>
  <si>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</si>
  <si>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</si>
  <si>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</si>
  <si>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</si>
  <si>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</si>
  <si>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</si>
  <si>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</si>
  <si>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</si>
  <si>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</si>
  <si>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</si>
  <si>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</si>
  <si>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</si>
  <si>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</si>
  <si>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</si>
  <si>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</si>
  <si>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</si>
  <si>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</si>
  <si>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</si>
  <si>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</si>
  <si>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</si>
  <si>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</si>
  <si>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</si>
  <si>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</si>
  <si>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</si>
  <si>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</si>
  <si>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</si>
  <si>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</si>
  <si>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</si>
  <si>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</si>
  <si>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</si>
  <si>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</si>
  <si>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</si>
  <si>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</si>
  <si>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</si>
  <si>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</si>
  <si>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</si>
  <si>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</si>
  <si>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</si>
  <si>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</si>
  <si>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</si>
  <si>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</si>
  <si>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</si>
  <si>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</si>
  <si>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</si>
  <si>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</si>
  <si>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</si>
  <si>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</si>
  <si>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</si>
  <si>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</si>
  <si>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</si>
  <si>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</si>
  <si>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</si>
  <si>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</si>
  <si>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</si>
  <si>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</si>
  <si>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</si>
  <si>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</si>
  <si>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</si>
  <si>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</si>
  <si>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</si>
  <si>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</si>
  <si>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</si>
  <si>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</si>
  <si>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</si>
  <si>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</si>
  <si>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</si>
  <si>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</si>
  <si>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</si>
  <si>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</si>
  <si>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</si>
  <si>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</si>
  <si>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</si>
  <si>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</si>
  <si>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</si>
  <si>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</si>
  <si>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</si>
  <si>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</si>
  <si>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</si>
  <si>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</si>
  <si>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</si>
  <si>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</si>
  <si>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</si>
  <si>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</si>
  <si>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</si>
  <si>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</si>
  <si>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</si>
  <si>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</si>
  <si>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</si>
  <si>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</si>
  <si>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</si>
  <si>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</si>
  <si>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</si>
  <si>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</si>
  <si>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</si>
  <si>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</si>
  <si>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</si>
  <si>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</si>
  <si>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</si>
  <si>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</si>
  <si>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</si>
  <si>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</si>
  <si>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</si>
  <si>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</si>
  <si>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</si>
  <si>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</si>
  <si>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</si>
  <si>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</si>
  <si>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</si>
  <si>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</si>
  <si>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</si>
  <si>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</si>
  <si>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</si>
  <si>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</si>
  <si>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</si>
  <si>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BARCELONA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</si>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</sst>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41EGkSfCTj3pIqnZtC+yJ/Ry1o/05acKwoJuOqJRs4KgEWOvBb9KnzlrUzzDKdT2HapVZSEKPsMsQ4beMD8l9Q==" saltValue="9mtl5VAiunJDzMQYoMi/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53</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6.1243069068692071</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5</v>
      </c>
      <c r="B10" s="505" t="str">
        <f>Datos!A10</f>
        <v>Jdos. Violencia contra la mujer</v>
      </c>
      <c r="C10" s="228">
        <f t="shared" si="0"/>
        <v>441</v>
      </c>
      <c r="D10" s="228">
        <f>IF(ISNUMBER(Datos!I10),Datos!I10," - ")</f>
        <v>441</v>
      </c>
      <c r="E10" s="229">
        <f>IF(ISNUMBER(Datos!J10),Datos!J10," - ")</f>
        <v>884</v>
      </c>
      <c r="F10" s="229">
        <f>IF(ISNUMBER(Datos!K10),Datos!K10," - ")</f>
        <v>799</v>
      </c>
      <c r="G10" s="1037" t="str">
        <f>IF(Datos!E10&lt;&gt;"",Datos!E10,Datos!D10)</f>
        <v>37</v>
      </c>
      <c r="H10" s="230">
        <f>IF(ISNUMBER(Datos!L10),Datos!L10," - ")</f>
        <v>526</v>
      </c>
      <c r="I10" s="1047" t="str">
        <f>IF(ISNUMBER(Datos!AS10/Datos!BM10),Datos!AS10/Datos!BM10," - ")</f>
        <v xml:space="preserve"> - </v>
      </c>
      <c r="J10" s="1048">
        <f>IF(ISNUMBER(Datos!BY10/Datos!CN10),Datos!BY10/Datos!CN10," - ")</f>
        <v>0</v>
      </c>
      <c r="K10" s="233">
        <f t="shared" ref="K10:K12" si="1">IF(ISNUMBER((E10-F10)/C10),(E10-F10)/C10," - ")</f>
        <v>0.1927437641723356</v>
      </c>
      <c r="L10" s="1028">
        <f>IF(ISNUMBER(NºAsuntos!I10/NºAsuntos!G10),(NºAsuntos!I10/NºAsuntos!G10)*11," - ")</f>
        <v>7.2415519399249062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8</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4.4154615488579534</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441</v>
      </c>
      <c r="D13" s="1052">
        <f>SUBTOTAL(9,D9:D12)</f>
        <v>441</v>
      </c>
      <c r="E13" s="1053">
        <f>SUBTOTAL(9,E9:E12)</f>
        <v>884</v>
      </c>
      <c r="F13" s="1054">
        <f>SUBTOTAL(9,F9:F12)</f>
        <v>799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33</v>
      </c>
      <c r="B15" s="505" t="str">
        <f>Datos!A15</f>
        <v xml:space="preserve">Jdos. Instrucción                               </v>
      </c>
      <c r="C15" s="228">
        <f t="shared" ref="C15:C17" si="2">IF(ISNUMBER(H15-E15+F15),H15-E15+F15," - ")</f>
        <v>17053</v>
      </c>
      <c r="D15" s="228">
        <f>IF(ISNUMBER(IF(D_I="SI",Datos!I15,Datos!I15+Datos!AC15)),IF(D_I="SI",Datos!I15,Datos!I15+Datos!AC15)," - ")</f>
        <v>14784</v>
      </c>
      <c r="E15" s="229">
        <f>IF(ISNUMBER(IF(D_I="SI",Datos!J15,Datos!J15+Datos!AD15)),IF(D_I="SI",Datos!J15,Datos!J15+Datos!AD15)," - ")</f>
        <v>111915</v>
      </c>
      <c r="F15" s="229">
        <f>IF(ISNUMBER(IF(D_I="SI",Datos!K15,Datos!K15+Datos!AE15)),IF(D_I="SI",Datos!K15,Datos!K15+Datos!AE15)," - ")</f>
        <v>110299</v>
      </c>
      <c r="G15" s="1037" t="str">
        <f>IF(Datos!E15&lt;&gt;"",Datos!E15,Datos!D15)</f>
        <v>03</v>
      </c>
      <c r="H15" s="230">
        <f>IF(ISNUMBER(IF(D_I="SI",Datos!L15,Datos!L15+Datos!AF15)),IF(D_I="SI",Datos!L15,Datos!L15+Datos!AF15)," - ")</f>
        <v>18669</v>
      </c>
      <c r="I15" s="1047" t="str">
        <f>IF(ISNUMBER(Datos!AS15/Datos!BM15),Datos!AS15/Datos!BM15," - ")</f>
        <v xml:space="preserve"> - </v>
      </c>
      <c r="J15" s="1048">
        <f>IF(ISNUMBER(Datos!BY15/Datos!CN15),Datos!BY15/Datos!CN15," - ")</f>
        <v>0</v>
      </c>
      <c r="K15" s="233">
        <f t="shared" ref="K15:K17" si="3">IF(ISNUMBER((E15-F15)/C15),(E15-F15)/C15," - ")</f>
        <v>9.4763384741687676E-2</v>
      </c>
      <c r="L15" s="1028">
        <f>IF(ISNUMBER(NºAsuntos!I15/NºAsuntos!G15),(NºAsuntos!I15/NºAsuntos!G15)*11," - ")</f>
        <v>1.8618391825855174</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5</v>
      </c>
      <c r="B17" s="505" t="str">
        <f>Datos!A17</f>
        <v>Jdos. Violencia contra la mujer</v>
      </c>
      <c r="C17" s="228">
        <f t="shared" si="2"/>
        <v>1489</v>
      </c>
      <c r="D17" s="228">
        <f>IF(ISNUMBER(IF(D_I="SI",Datos!I17,Datos!I17+Datos!AC17)),IF(D_I="SI",Datos!I17,Datos!I17+Datos!AC17)," - ")</f>
        <v>1438</v>
      </c>
      <c r="E17" s="229">
        <f>IF(ISNUMBER(IF(D_I="SI",Datos!J17,Datos!J17+Datos!AD17)),IF(D_I="SI",Datos!J17,Datos!J17+Datos!AD17)," - ")</f>
        <v>7649</v>
      </c>
      <c r="F17" s="229">
        <f>IF(ISNUMBER(IF(D_I="SI",Datos!K17,Datos!K17+Datos!AE17)),IF(D_I="SI",Datos!K17,Datos!K17+Datos!AE17)," - ")</f>
        <v>7335</v>
      </c>
      <c r="G17" s="1037" t="str">
        <f>IF(Datos!E17&lt;&gt;"",Datos!E17,Datos!D17)</f>
        <v>37</v>
      </c>
      <c r="H17" s="230">
        <f>IF(ISNUMBER(IF(D_I="SI",Datos!L17,Datos!L17+Datos!AF17)),IF(D_I="SI",Datos!L17,Datos!L17+Datos!AF17)," - ")</f>
        <v>1803</v>
      </c>
      <c r="I17" s="1047" t="str">
        <f>IF(ISNUMBER(Datos!AS17/Datos!BM17),Datos!AS17/Datos!BM17," - ")</f>
        <v xml:space="preserve"> - </v>
      </c>
      <c r="J17" s="1048" t="str">
        <f>IF(ISNUMBER((Datos!BY17+Datos!BZ17)/Datos!CN17),(Datos!BY17+Datos!BZ17)/Datos!CN17," - ")</f>
        <v xml:space="preserve"> - </v>
      </c>
      <c r="K17" s="233">
        <f t="shared" si="3"/>
        <v>0.21087978509066488</v>
      </c>
      <c r="L17" s="1028">
        <f>IF(ISNUMBER(NºAsuntos!I17/NºAsuntos!G17),(NºAsuntos!I17/NºAsuntos!G17)*11," - ")</f>
        <v>2.7038854805725974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18542</v>
      </c>
      <c r="D18" s="1052">
        <f>SUBTOTAL(9,D15:D17)</f>
        <v>16222</v>
      </c>
      <c r="E18" s="1053">
        <f>SUBTOTAL(9,E15:E17)</f>
        <v>119564</v>
      </c>
      <c r="F18" s="1053">
        <f>SUBTOTAL(9,F15:F17)</f>
        <v>117634</v>
      </c>
      <c r="G18" s="1055" t="str">
        <f ca="1">INDIRECT(CONCATENATE("G",ROW()-1))</f>
        <v>37</v>
      </c>
      <c r="H18" s="1056">
        <f ca="1">SUMIF(G$14:G17,G18,H$14:H17)</f>
        <v>1803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18983</v>
      </c>
      <c r="D19" s="1074">
        <f>SUBTOTAL(9,D9:D18)</f>
        <v>16663</v>
      </c>
      <c r="E19" s="1075">
        <f>SUBTOTAL(9,E9:E18)</f>
        <v>120448</v>
      </c>
      <c r="F19" s="1075">
        <f>SUBTOTAL(9,F9:F18)</f>
        <v>118433</v>
      </c>
      <c r="G19" s="1076"/>
      <c r="H19" s="1077">
        <f ca="1">SUMIF(B9:B18,"TOTAL",H9:H18)</f>
        <v>1803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z8LgfS4ajKhEhCx2qLkq6C2mX1rWNqKFSYH041lFU0AMWnWAitrBuT4uz+fojVnwoIYFPECEjWdA2Icj2BOp0w==" saltValue="sNhF0oT2ZYU+BclKp/kQm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NXYdxpaBHx/uJu5T30DTzzry/5PURvfMSl+eLxSAdZU7zeWaki+NIVOYNayem3WVrvzBx2S/R1jvwCyPDAO3Ag==" saltValue="lhjYrenOvJX0nh06Mypf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48930</v>
      </c>
      <c r="J9" s="184">
        <v>89539</v>
      </c>
      <c r="K9" s="184">
        <v>87176</v>
      </c>
      <c r="L9" s="184">
        <v>52142</v>
      </c>
      <c r="M9" s="184">
        <v>24275</v>
      </c>
      <c r="N9" s="184">
        <v>41150</v>
      </c>
      <c r="O9" s="184">
        <v>38591</v>
      </c>
      <c r="P9" s="184">
        <v>19468</v>
      </c>
      <c r="Q9" s="184">
        <v>23434</v>
      </c>
      <c r="R9" s="184">
        <v>66976</v>
      </c>
      <c r="S9" s="184">
        <v>60898</v>
      </c>
      <c r="T9" s="184">
        <v>81799</v>
      </c>
      <c r="U9" s="184">
        <v>86769</v>
      </c>
      <c r="V9" s="184">
        <v>48930</v>
      </c>
      <c r="W9" s="184">
        <v>27003</v>
      </c>
      <c r="X9" s="191">
        <v>38908</v>
      </c>
      <c r="Y9" s="194">
        <v>1984</v>
      </c>
      <c r="Z9" s="184">
        <v>8552</v>
      </c>
      <c r="AA9" s="184">
        <v>8410</v>
      </c>
      <c r="AB9" s="184">
        <v>1076</v>
      </c>
      <c r="AC9" s="184">
        <v>0</v>
      </c>
      <c r="AD9" s="184">
        <v>0</v>
      </c>
      <c r="AE9" s="184">
        <v>0</v>
      </c>
      <c r="AF9" s="191">
        <v>0</v>
      </c>
      <c r="AG9" s="194">
        <v>1569</v>
      </c>
      <c r="AH9" s="184">
        <v>8136</v>
      </c>
      <c r="AI9" s="184">
        <v>7728</v>
      </c>
      <c r="AJ9" s="195">
        <v>1984</v>
      </c>
      <c r="AK9" s="183">
        <v>0</v>
      </c>
      <c r="AL9" s="184">
        <v>0</v>
      </c>
      <c r="AM9" s="184">
        <v>0</v>
      </c>
      <c r="AN9" s="191">
        <v>0</v>
      </c>
      <c r="AO9" s="261">
        <v>53</v>
      </c>
      <c r="AP9" s="157">
        <v>53</v>
      </c>
      <c r="AQ9" s="157">
        <v>53</v>
      </c>
      <c r="AR9" s="196">
        <v>53</v>
      </c>
      <c r="AS9" s="341" t="s">
        <v>800</v>
      </c>
      <c r="AT9" s="198"/>
      <c r="AU9" s="197"/>
      <c r="AV9" s="198"/>
      <c r="AW9" s="197"/>
      <c r="AX9" s="198"/>
      <c r="AY9" s="123">
        <f>IF(ISNUMBER(IF(J_V="SI",S9,S9+AG9)),IF(J_V="SI",S9,S9+AG9)," - ")</f>
        <v>62467</v>
      </c>
      <c r="AZ9" s="123">
        <f>IF(ISNUMBER(IF(J_V="SI",T9,T9+AH9)),IF(J_V="SI",T9,T9+AH9)," - ")</f>
        <v>89935</v>
      </c>
      <c r="BA9" s="124">
        <f>IF(ISNUMBER(IF(J_V="SI",U9,U9+AI9)),IF(J_V="SI",U9,U9+AI9)," - ")</f>
        <v>94497</v>
      </c>
      <c r="BB9" s="124">
        <f>IF(ISNUMBER(IF(J_V="SI",V9,V9+AJ9)),IF(J_V="SI",V9,V9+AJ9)," - ")</f>
        <v>50914</v>
      </c>
      <c r="BC9" s="125">
        <f>IF(ISNUMBER(X9),X9," - ")</f>
        <v>38908</v>
      </c>
      <c r="BD9" s="126">
        <f>IF(ISNUMBER(BA9/AZ9),BA9/AZ9," - ")</f>
        <v>1.0507255239895481</v>
      </c>
      <c r="BE9" s="127">
        <f>IF(ISNUMBER(BB9/BA9),BB9/BA9, " - ")</f>
        <v>0.53878959120395353</v>
      </c>
      <c r="BF9" s="127">
        <f>IF(ISNUMBER(BC9/BA9),BC9/BA9, " - ")</f>
        <v>0.41173793877054299</v>
      </c>
      <c r="BG9" s="199">
        <f>IF(ISNUMBER((AY9+AZ9)/BA9),(AY9+AZ9)/BA9," - ")</f>
        <v>1.6127707757918242</v>
      </c>
      <c r="BH9" s="157">
        <v>52</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441</v>
      </c>
      <c r="J10" s="184">
        <v>884</v>
      </c>
      <c r="K10" s="184">
        <v>799</v>
      </c>
      <c r="L10" s="184">
        <v>526</v>
      </c>
      <c r="M10" s="184">
        <v>319</v>
      </c>
      <c r="N10" s="184">
        <v>336</v>
      </c>
      <c r="O10" s="184">
        <v>190</v>
      </c>
      <c r="P10" s="184">
        <v>203</v>
      </c>
      <c r="Q10" s="184">
        <v>164</v>
      </c>
      <c r="R10" s="184">
        <v>589</v>
      </c>
      <c r="S10" s="184">
        <v>413</v>
      </c>
      <c r="T10" s="184">
        <v>812</v>
      </c>
      <c r="U10" s="184">
        <v>753</v>
      </c>
      <c r="V10" s="184">
        <v>441</v>
      </c>
      <c r="W10" s="184">
        <v>245</v>
      </c>
      <c r="X10" s="191">
        <v>360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5</v>
      </c>
      <c r="AP10" s="158">
        <v>5</v>
      </c>
      <c r="AQ10" s="157">
        <v>5</v>
      </c>
      <c r="AR10" s="158">
        <v>5</v>
      </c>
      <c r="AS10" s="342" t="s">
        <v>794</v>
      </c>
      <c r="AT10" s="195"/>
      <c r="AU10" s="203"/>
      <c r="AV10" s="195"/>
      <c r="AW10" s="203"/>
      <c r="AX10" s="195"/>
      <c r="AY10" s="128">
        <f t="shared" ref="AY10:BC10" si="0">IF(ISNUMBER(S10),S10," - ")</f>
        <v>413</v>
      </c>
      <c r="AZ10" s="129">
        <f t="shared" si="0"/>
        <v>812</v>
      </c>
      <c r="BA10" s="129">
        <f t="shared" si="0"/>
        <v>753</v>
      </c>
      <c r="BB10" s="129">
        <f t="shared" si="0"/>
        <v>441</v>
      </c>
      <c r="BC10" s="125">
        <f t="shared" si="0"/>
        <v>245</v>
      </c>
      <c r="BD10" s="126">
        <f>IF(ISNUMBER(BA10/AZ10),BA10/AZ10," - ")</f>
        <v>0.92733990147783252</v>
      </c>
      <c r="BE10" s="127">
        <f>IF(ISNUMBER(BB10/BA10),BB10/BA10, " - ")</f>
        <v>0.58565737051792832</v>
      </c>
      <c r="BF10" s="127">
        <f>IF(ISNUMBER(BC10/BA10),BC10/BA10, " - ")</f>
        <v>0.32536520584329348</v>
      </c>
      <c r="BG10" s="199">
        <f>IF(ISNUMBER((AY10+AZ10)/BA10),(AY10+AZ10)/BA10," - ")</f>
        <v>1.6268260292164676</v>
      </c>
      <c r="BH10" s="158">
        <v>5</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2625</v>
      </c>
      <c r="J11" s="186">
        <v>6992</v>
      </c>
      <c r="K11" s="186">
        <v>6950</v>
      </c>
      <c r="L11" s="186">
        <v>2856</v>
      </c>
      <c r="M11" s="186">
        <v>3265</v>
      </c>
      <c r="N11" s="186">
        <v>1966</v>
      </c>
      <c r="O11" s="184">
        <v>2450</v>
      </c>
      <c r="P11" s="186">
        <v>959</v>
      </c>
      <c r="Q11" s="186">
        <v>1220</v>
      </c>
      <c r="R11" s="186">
        <v>3429</v>
      </c>
      <c r="S11" s="186">
        <v>3088</v>
      </c>
      <c r="T11" s="186">
        <v>7051</v>
      </c>
      <c r="U11" s="186">
        <v>7570</v>
      </c>
      <c r="V11" s="186">
        <v>2625</v>
      </c>
      <c r="W11" s="186">
        <v>3457</v>
      </c>
      <c r="X11" s="192">
        <v>2079</v>
      </c>
      <c r="Y11" s="194">
        <v>135</v>
      </c>
      <c r="Z11" s="184">
        <v>408</v>
      </c>
      <c r="AA11" s="184">
        <v>449</v>
      </c>
      <c r="AB11" s="184">
        <v>114</v>
      </c>
      <c r="AC11" s="186">
        <v>0</v>
      </c>
      <c r="AD11" s="186">
        <v>0</v>
      </c>
      <c r="AE11" s="186">
        <v>0</v>
      </c>
      <c r="AF11" s="192">
        <v>0</v>
      </c>
      <c r="AG11" s="205">
        <v>118</v>
      </c>
      <c r="AH11" s="186">
        <v>437</v>
      </c>
      <c r="AI11" s="186">
        <v>423</v>
      </c>
      <c r="AJ11" s="206">
        <v>135</v>
      </c>
      <c r="AK11" s="185">
        <v>0</v>
      </c>
      <c r="AL11" s="186">
        <v>0</v>
      </c>
      <c r="AM11" s="186">
        <v>0</v>
      </c>
      <c r="AN11" s="192">
        <v>0</v>
      </c>
      <c r="AO11" s="262">
        <v>8</v>
      </c>
      <c r="AP11" s="158">
        <v>8</v>
      </c>
      <c r="AQ11" s="158">
        <v>8</v>
      </c>
      <c r="AR11" s="157">
        <v>8</v>
      </c>
      <c r="AS11" s="343" t="s">
        <v>802</v>
      </c>
      <c r="AT11" s="206"/>
      <c r="AU11" s="205"/>
      <c r="AV11" s="206"/>
      <c r="AW11" s="205"/>
      <c r="AX11" s="206"/>
      <c r="AY11" s="126">
        <f t="shared" ref="AY11:BB12" si="1">IF(ISNUMBER(IF(J_V="SI",S11,S11+AG11)),IF(J_V="SI",S11,S11+AG11)," - ")</f>
        <v>3206</v>
      </c>
      <c r="AZ11" s="127">
        <f t="shared" si="1"/>
        <v>7488</v>
      </c>
      <c r="BA11" s="127">
        <f t="shared" si="1"/>
        <v>7993</v>
      </c>
      <c r="BB11" s="127">
        <f t="shared" si="1"/>
        <v>2760</v>
      </c>
      <c r="BC11" s="125">
        <f>IF(ISNUMBER(X11),X11," - ")</f>
        <v>2079</v>
      </c>
      <c r="BD11" s="126">
        <f t="shared" ref="BD11:BD12" si="2">IF(ISNUMBER(BA11/AZ11),BA11/AZ11," - ")</f>
        <v>1.0674412393162394</v>
      </c>
      <c r="BE11" s="127">
        <f t="shared" ref="BE11:BE12" si="3">IF(ISNUMBER(BB11/BA11),BB11/BA11, " - ")</f>
        <v>0.34530213937195048</v>
      </c>
      <c r="BF11" s="127">
        <f t="shared" ref="BF11:BF12" si="4">IF(ISNUMBER(BC11/BA11),BC11/BA11, " - ")</f>
        <v>0.26010258976604528</v>
      </c>
      <c r="BG11" s="199">
        <f t="shared" ref="BG11:BG12" si="5">IF(ISNUMBER((AY11+AZ11)/BA11),(AY11+AZ11)/BA11," - ")</f>
        <v>1.3379206805955211</v>
      </c>
      <c r="BH11" s="158">
        <v>8</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51996</v>
      </c>
      <c r="J13" s="187">
        <f t="shared" si="6"/>
        <v>97415</v>
      </c>
      <c r="K13" s="187">
        <f t="shared" si="6"/>
        <v>94925</v>
      </c>
      <c r="L13" s="187">
        <f t="shared" si="6"/>
        <v>55524</v>
      </c>
      <c r="M13" s="187">
        <f t="shared" si="6"/>
        <v>27859</v>
      </c>
      <c r="N13" s="187">
        <f t="shared" si="6"/>
        <v>43452</v>
      </c>
      <c r="O13" s="187">
        <f t="shared" si="6"/>
        <v>41231</v>
      </c>
      <c r="P13" s="187">
        <f t="shared" si="6"/>
        <v>20630</v>
      </c>
      <c r="Q13" s="187">
        <f t="shared" si="6"/>
        <v>24818</v>
      </c>
      <c r="R13" s="187">
        <f t="shared" si="6"/>
        <v>70994</v>
      </c>
      <c r="S13" s="187">
        <f t="shared" si="6"/>
        <v>64399</v>
      </c>
      <c r="T13" s="187">
        <f t="shared" si="6"/>
        <v>89662</v>
      </c>
      <c r="U13" s="187">
        <f t="shared" si="6"/>
        <v>95092</v>
      </c>
      <c r="V13" s="187">
        <f t="shared" si="6"/>
        <v>51996</v>
      </c>
      <c r="W13" s="187">
        <f t="shared" si="6"/>
        <v>30705</v>
      </c>
      <c r="X13" s="187">
        <f t="shared" si="6"/>
        <v>41347</v>
      </c>
      <c r="Y13" s="187">
        <f t="shared" si="6"/>
        <v>2119</v>
      </c>
      <c r="Z13" s="187">
        <f t="shared" si="6"/>
        <v>8960</v>
      </c>
      <c r="AA13" s="187">
        <f t="shared" si="6"/>
        <v>8859</v>
      </c>
      <c r="AB13" s="187">
        <f t="shared" si="6"/>
        <v>1190</v>
      </c>
      <c r="AC13" s="187">
        <f t="shared" si="6"/>
        <v>0</v>
      </c>
      <c r="AD13" s="187">
        <f t="shared" si="6"/>
        <v>0</v>
      </c>
      <c r="AE13" s="187">
        <f t="shared" si="6"/>
        <v>0</v>
      </c>
      <c r="AF13" s="187">
        <f>SUBTOTAL(9,AF9:AF12)</f>
        <v>0</v>
      </c>
      <c r="AG13" s="187">
        <f t="shared" ref="AG13:AT13" si="7">SUBTOTAL(9,AG8:AG12)</f>
        <v>1687</v>
      </c>
      <c r="AH13" s="187">
        <f t="shared" si="7"/>
        <v>8573</v>
      </c>
      <c r="AI13" s="187">
        <f t="shared" si="7"/>
        <v>8151</v>
      </c>
      <c r="AJ13" s="187">
        <f t="shared" si="7"/>
        <v>2119</v>
      </c>
      <c r="AK13" s="187">
        <f t="shared" si="7"/>
        <v>0</v>
      </c>
      <c r="AL13" s="187">
        <f t="shared" si="7"/>
        <v>0</v>
      </c>
      <c r="AM13" s="187">
        <f t="shared" si="7"/>
        <v>0</v>
      </c>
      <c r="AN13" s="187">
        <f t="shared" si="7"/>
        <v>0</v>
      </c>
      <c r="AO13" s="187">
        <f t="shared" si="7"/>
        <v>66</v>
      </c>
      <c r="AP13" s="187">
        <f t="shared" si="7"/>
        <v>66</v>
      </c>
      <c r="AQ13" s="187">
        <f t="shared" si="7"/>
        <v>66</v>
      </c>
      <c r="AR13" s="187">
        <f t="shared" si="7"/>
        <v>66</v>
      </c>
      <c r="AS13" s="187">
        <f t="shared" si="7"/>
        <v>0</v>
      </c>
      <c r="AT13" s="187">
        <f t="shared" si="7"/>
        <v>0</v>
      </c>
      <c r="AU13" s="207"/>
      <c r="AV13" s="132"/>
      <c r="AW13" s="207"/>
      <c r="AX13" s="132"/>
      <c r="AY13" s="187">
        <f>SUBTOTAL(9,AY8:AY12)</f>
        <v>66086</v>
      </c>
      <c r="AZ13" s="187">
        <f>SUBTOTAL(9,AZ8:AZ12)</f>
        <v>98235</v>
      </c>
      <c r="BA13" s="187">
        <f>SUBTOTAL(9,BA8:BA12)</f>
        <v>103243</v>
      </c>
      <c r="BB13" s="187">
        <f>SUBTOTAL(9,BB8:BB12)</f>
        <v>54115</v>
      </c>
      <c r="BC13" s="187">
        <f>SUBTOTAL(9,BC8:BC12)</f>
        <v>41232</v>
      </c>
      <c r="BD13" s="208">
        <f>IF(ISNUMBER(BA13/AZ13),BA13/AZ13," - ")</f>
        <v>1.0509797933526748</v>
      </c>
      <c r="BE13" s="209">
        <f>IF(ISNUMBER(BB13/BA13),BB13/BA13, " - ")</f>
        <v>0.52415175847272943</v>
      </c>
      <c r="BF13" s="209">
        <f>IF(ISNUMBER(BC13/BA13),BC13/BA13, " - ")</f>
        <v>0.39936848018751875</v>
      </c>
      <c r="BG13" s="210">
        <f>IF(ISNUMBER((AY13+AZ13)/BA13),(AY13+AZ13)/BA13," - ")</f>
        <v>1.5915945875265152</v>
      </c>
      <c r="BH13" s="143">
        <f>SUBTOTAL(9,BH8:BH12)</f>
        <v>65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14784</v>
      </c>
      <c r="J15" s="186">
        <v>111915</v>
      </c>
      <c r="K15" s="186">
        <v>110299</v>
      </c>
      <c r="L15" s="186">
        <v>18669</v>
      </c>
      <c r="M15" s="186">
        <v>20674</v>
      </c>
      <c r="N15" s="186">
        <v>57107</v>
      </c>
      <c r="O15" s="184">
        <v>5341</v>
      </c>
      <c r="P15" s="186">
        <v>9699</v>
      </c>
      <c r="Q15" s="186">
        <v>9723</v>
      </c>
      <c r="R15" s="186">
        <v>3934</v>
      </c>
      <c r="S15" s="186">
        <v>11836</v>
      </c>
      <c r="T15" s="186">
        <v>98074</v>
      </c>
      <c r="U15" s="186">
        <v>97361</v>
      </c>
      <c r="V15" s="186">
        <v>14784</v>
      </c>
      <c r="W15" s="186">
        <v>17903</v>
      </c>
      <c r="X15" s="192">
        <v>51741</v>
      </c>
      <c r="Y15" s="205">
        <v>0</v>
      </c>
      <c r="Z15" s="186">
        <v>0</v>
      </c>
      <c r="AA15" s="186">
        <v>0</v>
      </c>
      <c r="AB15" s="186">
        <v>0</v>
      </c>
      <c r="AC15" s="186">
        <v>319</v>
      </c>
      <c r="AD15" s="186">
        <v>17715</v>
      </c>
      <c r="AE15" s="186">
        <v>17773</v>
      </c>
      <c r="AF15" s="192">
        <v>261</v>
      </c>
      <c r="AG15" s="205">
        <v>0</v>
      </c>
      <c r="AH15" s="186">
        <v>0</v>
      </c>
      <c r="AI15" s="186">
        <v>0</v>
      </c>
      <c r="AJ15" s="206">
        <v>0</v>
      </c>
      <c r="AK15" s="185">
        <v>168</v>
      </c>
      <c r="AL15" s="186">
        <v>20303</v>
      </c>
      <c r="AM15" s="186">
        <v>20152</v>
      </c>
      <c r="AN15" s="192">
        <v>319</v>
      </c>
      <c r="AO15" s="262">
        <v>33</v>
      </c>
      <c r="AP15" s="158">
        <v>33</v>
      </c>
      <c r="AQ15" s="158">
        <v>33</v>
      </c>
      <c r="AR15" s="158">
        <v>33</v>
      </c>
      <c r="AS15" s="343" t="s">
        <v>527</v>
      </c>
      <c r="AT15" s="206" t="s">
        <v>326</v>
      </c>
      <c r="AU15" s="205"/>
      <c r="AV15" s="206"/>
      <c r="AW15" s="205"/>
      <c r="AX15" s="206"/>
      <c r="AY15" s="128">
        <f t="shared" ref="AY15:BB16" si="9">IF(ISNUMBER(IF(D_I="SI",S15,S15+AK15)),IF(D_I="SI",S15,S15+AK15)," - ")</f>
        <v>11836</v>
      </c>
      <c r="AZ15" s="129">
        <f t="shared" si="9"/>
        <v>98074</v>
      </c>
      <c r="BA15" s="129">
        <f t="shared" si="9"/>
        <v>97361</v>
      </c>
      <c r="BB15" s="129">
        <f t="shared" si="9"/>
        <v>14784</v>
      </c>
      <c r="BC15" s="125">
        <f>IF(ISNUMBER(W15),W15," - ")</f>
        <v>17903</v>
      </c>
      <c r="BD15" s="126">
        <f>IF(ISNUMBER(BA15/AZ15),BA15/AZ15," - ")</f>
        <v>0.99272997940330776</v>
      </c>
      <c r="BE15" s="127">
        <f>IF(ISNUMBER(BB15/BA15),BB15/BA15, " - ")</f>
        <v>0.15184724889842954</v>
      </c>
      <c r="BF15" s="127">
        <f>IF(ISNUMBER(BC15/BA15),BC15/BA15, " - ")</f>
        <v>0.18388266348948756</v>
      </c>
      <c r="BG15" s="199">
        <f t="shared" ref="BG15:BG16" si="10">IF(ISNUMBER((AY15+AZ15)/BA15),(AY15+AZ15)/BA15," - ")</f>
        <v>1.1288914452398804</v>
      </c>
      <c r="BH15" s="158">
        <v>33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1438</v>
      </c>
      <c r="J17" s="186">
        <v>7649</v>
      </c>
      <c r="K17" s="186">
        <v>7335</v>
      </c>
      <c r="L17" s="186">
        <v>1803</v>
      </c>
      <c r="M17" s="186">
        <v>130</v>
      </c>
      <c r="N17" s="186">
        <v>4511</v>
      </c>
      <c r="O17" s="186">
        <v>12</v>
      </c>
      <c r="P17" s="186">
        <v>25</v>
      </c>
      <c r="Q17" s="186">
        <v>24</v>
      </c>
      <c r="R17" s="186">
        <v>19</v>
      </c>
      <c r="S17" s="186">
        <v>1361</v>
      </c>
      <c r="T17" s="186">
        <v>6569</v>
      </c>
      <c r="U17" s="186">
        <v>6547</v>
      </c>
      <c r="V17" s="186">
        <v>1438</v>
      </c>
      <c r="W17" s="186">
        <v>102</v>
      </c>
      <c r="X17" s="192">
        <v>3947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5</v>
      </c>
      <c r="AP17" s="158">
        <v>5</v>
      </c>
      <c r="AQ17" s="157">
        <v>5</v>
      </c>
      <c r="AR17" s="158">
        <v>5</v>
      </c>
      <c r="AS17" s="342" t="s">
        <v>793</v>
      </c>
      <c r="AT17" s="212"/>
      <c r="AU17" s="203"/>
      <c r="AV17" s="212"/>
      <c r="AW17" s="203"/>
      <c r="AX17" s="212"/>
      <c r="AY17" s="128">
        <f t="shared" ref="AY17:BB17" si="14">IF(ISNUMBER(S17),S17," - ")</f>
        <v>1361</v>
      </c>
      <c r="AZ17" s="129">
        <f t="shared" si="14"/>
        <v>6569</v>
      </c>
      <c r="BA17" s="129">
        <f t="shared" si="14"/>
        <v>6547</v>
      </c>
      <c r="BB17" s="129">
        <f t="shared" si="14"/>
        <v>1438</v>
      </c>
      <c r="BC17" s="125">
        <f>IF(ISNUMBER(W17),W17," - ")</f>
        <v>102</v>
      </c>
      <c r="BD17" s="126">
        <f>IF(ISNUMBER(BA17/AZ17),BA17/AZ17," - ")</f>
        <v>0.99665093621555789</v>
      </c>
      <c r="BE17" s="127">
        <f>IF(ISNUMBER(BB17/BA17),BB17/BA17, " - ")</f>
        <v>0.21964258438979686</v>
      </c>
      <c r="BF17" s="127">
        <f>IF(ISNUMBER(BC17/BA17),BC17/BA17, " - ")</f>
        <v>1.5579654803726898E-2</v>
      </c>
      <c r="BG17" s="199">
        <f>IF(ISNUMBER((AY17+AZ17)/BA17),(AY17+AZ17)/BA17," - ")</f>
        <v>1.2112417901328854</v>
      </c>
      <c r="BH17" s="158">
        <v>5</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16222</v>
      </c>
      <c r="J18" s="187">
        <f t="shared" si="15"/>
        <v>119564</v>
      </c>
      <c r="K18" s="187">
        <f t="shared" si="15"/>
        <v>117634</v>
      </c>
      <c r="L18" s="187">
        <f t="shared" si="15"/>
        <v>20472</v>
      </c>
      <c r="M18" s="187">
        <f t="shared" si="15"/>
        <v>20804</v>
      </c>
      <c r="N18" s="187">
        <f t="shared" si="15"/>
        <v>61618</v>
      </c>
      <c r="O18" s="187">
        <f t="shared" si="15"/>
        <v>5353</v>
      </c>
      <c r="P18" s="187">
        <f t="shared" si="15"/>
        <v>9724</v>
      </c>
      <c r="Q18" s="187">
        <f t="shared" si="15"/>
        <v>9747</v>
      </c>
      <c r="R18" s="187">
        <f t="shared" si="15"/>
        <v>3953</v>
      </c>
      <c r="S18" s="187">
        <f t="shared" si="15"/>
        <v>13197</v>
      </c>
      <c r="T18" s="187">
        <f t="shared" si="15"/>
        <v>104643</v>
      </c>
      <c r="U18" s="187">
        <f t="shared" si="15"/>
        <v>103908</v>
      </c>
      <c r="V18" s="187">
        <f t="shared" si="15"/>
        <v>16222</v>
      </c>
      <c r="W18" s="187">
        <f t="shared" si="15"/>
        <v>18005</v>
      </c>
      <c r="X18" s="187">
        <f t="shared" si="15"/>
        <v>55688</v>
      </c>
      <c r="Y18" s="187">
        <f t="shared" si="15"/>
        <v>0</v>
      </c>
      <c r="Z18" s="187">
        <f t="shared" si="15"/>
        <v>0</v>
      </c>
      <c r="AA18" s="187">
        <f t="shared" si="15"/>
        <v>0</v>
      </c>
      <c r="AB18" s="187">
        <f t="shared" si="15"/>
        <v>0</v>
      </c>
      <c r="AC18" s="187">
        <f t="shared" si="15"/>
        <v>319</v>
      </c>
      <c r="AD18" s="187">
        <f t="shared" si="15"/>
        <v>17715</v>
      </c>
      <c r="AE18" s="187">
        <f t="shared" si="15"/>
        <v>17773</v>
      </c>
      <c r="AF18" s="187">
        <f t="shared" si="15"/>
        <v>261</v>
      </c>
      <c r="AG18" s="187">
        <f t="shared" si="15"/>
        <v>0</v>
      </c>
      <c r="AH18" s="187">
        <f t="shared" si="15"/>
        <v>0</v>
      </c>
      <c r="AI18" s="187">
        <f t="shared" si="15"/>
        <v>0</v>
      </c>
      <c r="AJ18" s="187">
        <f t="shared" si="15"/>
        <v>0</v>
      </c>
      <c r="AK18" s="187">
        <f t="shared" si="15"/>
        <v>168</v>
      </c>
      <c r="AL18" s="187">
        <f t="shared" si="15"/>
        <v>20303</v>
      </c>
      <c r="AM18" s="187">
        <f t="shared" si="15"/>
        <v>20152</v>
      </c>
      <c r="AN18" s="187">
        <f t="shared" si="15"/>
        <v>319</v>
      </c>
      <c r="AO18" s="187">
        <f t="shared" si="15"/>
        <v>38</v>
      </c>
      <c r="AP18" s="187">
        <f t="shared" si="15"/>
        <v>38</v>
      </c>
      <c r="AQ18" s="187">
        <f t="shared" si="15"/>
        <v>38</v>
      </c>
      <c r="AR18" s="187">
        <f t="shared" si="15"/>
        <v>38</v>
      </c>
      <c r="AS18" s="187">
        <f t="shared" si="15"/>
        <v>0</v>
      </c>
      <c r="AT18" s="187">
        <f t="shared" si="15"/>
        <v>0</v>
      </c>
      <c r="AU18" s="207"/>
      <c r="AV18" s="132"/>
      <c r="AW18" s="207"/>
      <c r="AX18" s="132"/>
      <c r="AY18" s="187">
        <f>SUBTOTAL(9,AY14:AY17)</f>
        <v>13197</v>
      </c>
      <c r="AZ18" s="187">
        <f>SUBTOTAL(9,AZ14:AZ17)</f>
        <v>104643</v>
      </c>
      <c r="BA18" s="187">
        <f>SUBTOTAL(9,BA14:BA17)</f>
        <v>103908</v>
      </c>
      <c r="BB18" s="187">
        <f>SUBTOTAL(9,BB14:BB17)</f>
        <v>16222</v>
      </c>
      <c r="BC18" s="187">
        <f>SUBTOTAL(9,BC14:BC17)</f>
        <v>18005</v>
      </c>
      <c r="BD18" s="208">
        <f>IF(ISNUMBER(BA18/AZ18),BA18/AZ18," - ")</f>
        <v>0.99297611880393333</v>
      </c>
      <c r="BE18" s="209">
        <f>IF(ISNUMBER(BB18/BA18),BB18/BA18, " - ")</f>
        <v>0.15611887438888247</v>
      </c>
      <c r="BF18" s="209">
        <f>IF(ISNUMBER(BC18/BA18),BC18/BA18, " - ")</f>
        <v>0.17327828463640912</v>
      </c>
      <c r="BG18" s="210">
        <f>IF(ISNUMBER((AY18+AZ18)/BA18),(AY18+AZ18)/BA18," - ")</f>
        <v>1.1340801478230742</v>
      </c>
      <c r="BH18" s="187">
        <f>SUBTOTAL(9,BH14:BH17)</f>
        <v>38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68218</v>
      </c>
      <c r="J19" s="134">
        <f t="shared" si="18"/>
        <v>216979</v>
      </c>
      <c r="K19" s="134">
        <f t="shared" si="18"/>
        <v>212559</v>
      </c>
      <c r="L19" s="134">
        <f t="shared" si="18"/>
        <v>75996</v>
      </c>
      <c r="M19" s="134">
        <f t="shared" si="18"/>
        <v>48663</v>
      </c>
      <c r="N19" s="134">
        <f t="shared" si="18"/>
        <v>105070</v>
      </c>
      <c r="O19" s="134">
        <f t="shared" si="18"/>
        <v>46584</v>
      </c>
      <c r="P19" s="134">
        <f t="shared" si="18"/>
        <v>30354</v>
      </c>
      <c r="Q19" s="134">
        <f t="shared" si="18"/>
        <v>34565</v>
      </c>
      <c r="R19" s="134">
        <f t="shared" si="18"/>
        <v>74947</v>
      </c>
      <c r="S19" s="134">
        <f t="shared" si="18"/>
        <v>77596</v>
      </c>
      <c r="T19" s="134">
        <f t="shared" si="18"/>
        <v>194305</v>
      </c>
      <c r="U19" s="134">
        <f t="shared" si="18"/>
        <v>199000</v>
      </c>
      <c r="V19" s="134">
        <f t="shared" si="18"/>
        <v>68218</v>
      </c>
      <c r="W19" s="134">
        <f t="shared" si="18"/>
        <v>48710</v>
      </c>
      <c r="X19" s="134">
        <f t="shared" si="18"/>
        <v>97035</v>
      </c>
      <c r="Y19" s="134">
        <f t="shared" si="18"/>
        <v>2119</v>
      </c>
      <c r="Z19" s="134">
        <f t="shared" si="18"/>
        <v>8960</v>
      </c>
      <c r="AA19" s="134">
        <f t="shared" si="18"/>
        <v>8859</v>
      </c>
      <c r="AB19" s="134">
        <f t="shared" si="18"/>
        <v>1190</v>
      </c>
      <c r="AC19" s="134">
        <f t="shared" si="18"/>
        <v>319</v>
      </c>
      <c r="AD19" s="134">
        <f t="shared" si="18"/>
        <v>17715</v>
      </c>
      <c r="AE19" s="134">
        <f t="shared" si="18"/>
        <v>17773</v>
      </c>
      <c r="AF19" s="134">
        <f t="shared" si="18"/>
        <v>261</v>
      </c>
      <c r="AG19" s="134">
        <f t="shared" si="18"/>
        <v>1687</v>
      </c>
      <c r="AH19" s="134">
        <f t="shared" si="18"/>
        <v>8573</v>
      </c>
      <c r="AI19" s="134">
        <f t="shared" si="18"/>
        <v>8151</v>
      </c>
      <c r="AJ19" s="134">
        <f t="shared" si="18"/>
        <v>2119</v>
      </c>
      <c r="AK19" s="134">
        <f t="shared" si="18"/>
        <v>168</v>
      </c>
      <c r="AL19" s="134">
        <f t="shared" si="18"/>
        <v>20303</v>
      </c>
      <c r="AM19" s="134">
        <f t="shared" si="18"/>
        <v>20152</v>
      </c>
      <c r="AN19" s="213">
        <f t="shared" si="18"/>
        <v>319</v>
      </c>
      <c r="AO19" s="214">
        <v>99</v>
      </c>
      <c r="AP19" s="214">
        <v>99</v>
      </c>
      <c r="AQ19" s="214">
        <v>99</v>
      </c>
      <c r="AR19" s="214">
        <v>99</v>
      </c>
      <c r="AS19" s="156">
        <f t="shared" si="18"/>
        <v>0</v>
      </c>
      <c r="AT19" s="156">
        <f t="shared" si="18"/>
        <v>0</v>
      </c>
      <c r="AU19" s="214"/>
      <c r="AV19" s="215"/>
      <c r="AW19" s="214"/>
      <c r="AX19" s="215"/>
      <c r="AY19" s="133">
        <f>SUBTOTAL(9,AY9:AY18)</f>
        <v>79283</v>
      </c>
      <c r="AZ19" s="134">
        <f>SUBTOTAL(9,AZ9:AZ18)</f>
        <v>202878</v>
      </c>
      <c r="BA19" s="134">
        <f>SUBTOTAL(9,BA9:BA18)</f>
        <v>207151</v>
      </c>
      <c r="BB19" s="134">
        <f>SUBTOTAL(9,BB9:BB18)</f>
        <v>70337</v>
      </c>
      <c r="BC19" s="135">
        <f>SUBTOTAL(9,BC9:BC18)</f>
        <v>59237</v>
      </c>
      <c r="BD19" s="216">
        <f>IF(ISNUMBER(BA19/AZ19),BA19/AZ19," - ")</f>
        <v>1.0210619189857943</v>
      </c>
      <c r="BE19" s="213">
        <f>IF(ISNUMBER(BB19/BA19),BB19/BA19, " - ")</f>
        <v>0.33954458341982419</v>
      </c>
      <c r="BF19" s="213">
        <f>IF(ISNUMBER(BC19/BA19),BC19/BA19, " - ")</f>
        <v>0.2859604829327399</v>
      </c>
      <c r="BG19" s="135">
        <f>IF(ISNUMBER((AY19+AZ19)/BA19),(AY19+AZ19)/BA19," - ")</f>
        <v>1.3621030069852427</v>
      </c>
      <c r="BH19" s="214">
        <f>SUBTOTAL(9,BH9:BH18)</f>
        <v>103</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GRXKR7yvv3NxZLaHxh5f7aj79o+aMb1jlo770gZ/+tu426Y+XrhmhI8PB45BvWQa4DXQiaPRtzFDuca0Fn/dA==" saltValue="m7Io+58ex5y2dtOhe6Vc3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wInwj3f7IPbuYr1XbCrJeTqi/3sKLwHFGwmYlMdoCMzAaWk0sUlHotBR4/7jKFSs2ilfGF3daNmdFQC10mFQQ==" saltValue="aKQomICORIXMTyJgd0kRm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BARCELONA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53</v>
      </c>
      <c r="B9" s="504" t="s">
        <v>246</v>
      </c>
      <c r="C9" s="163" t="str">
        <f>Datos!A9</f>
        <v xml:space="preserve">Jdos. 1ª Instancia   </v>
      </c>
      <c r="D9" s="505"/>
      <c r="E9" s="263">
        <f>IF(ISNUMBER(Datos!AQ9),Datos!AQ9," - ")</f>
        <v>53</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8552</v>
      </c>
      <c r="O9" s="337"/>
      <c r="P9" s="337"/>
      <c r="Q9" s="229">
        <f>IF(ISNUMBER(Datos!P9),Datos!P9,0)</f>
        <v>19468</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23434</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1076</v>
      </c>
      <c r="AI9" s="337" t="str">
        <f>IF(ISNUMBER(Datos!CD9),Datos!CD9,"-")</f>
        <v>-</v>
      </c>
      <c r="AJ9" s="337" t="str">
        <f>IF(ISNUMBER(Datos!EN9),Datos!EN9," - ")</f>
        <v xml:space="preserve"> - </v>
      </c>
      <c r="AK9" s="337"/>
      <c r="AL9" s="482"/>
      <c r="AM9" s="338">
        <f>IF(ISNUMBER(Datos!R9),Datos!R9," - ")</f>
        <v>66976</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24275</v>
      </c>
      <c r="BD9" s="232">
        <f>IF(ISNUMBER(Datos!N9),Datos!N9," - ")</f>
        <v>41150</v>
      </c>
      <c r="BE9" s="232" t="str">
        <f>IF(ISNUMBER(Datos!BW9),Datos!BW9," - ")</f>
        <v xml:space="preserve"> - </v>
      </c>
      <c r="BF9" s="231" t="str">
        <f>IF(ISNUMBER(Datos!BX9),Datos!BX9," - ")</f>
        <v xml:space="preserve"> - </v>
      </c>
      <c r="BG9" s="246">
        <f>IF(ISNUMBER(IF(J_V="SI",Datos!K9/Datos!J9,(Datos!K9+Datos!AA9)/(Datos!J9+Datos!Z9))),IF(J_V="SI",Datos!K9/Datos!J9,(Datos!K9+Datos!AA9)/(Datos!J9+Datos!Z9))," - ")</f>
        <v>0.97446248891335596</v>
      </c>
      <c r="BH9" s="263">
        <f>IF(ISNUMBER(((IF(J_V="SI",Datos!L9/Datos!K9,(Datos!L9+Datos!AB9)/(Datos!K9+Datos!AA9)))*11)/factor_trimestre),((IF(J_V="SI",Datos!L9/Datos!K9,(Datos!L9+Datos!AB9)/(Datos!K9+Datos!AA9)))*11)/factor_trimestre," - ")</f>
        <v>6.1243069068692071</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-5.5904823658763494E-2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5</v>
      </c>
      <c r="B10" s="510" t="s">
        <v>246</v>
      </c>
      <c r="C10" s="7" t="str">
        <f>Datos!A10</f>
        <v>Jdos. Violencia contra la mujer</v>
      </c>
      <c r="D10" s="511"/>
      <c r="E10" s="263">
        <f>IF(ISNUMBER(Datos!AQ10),Datos!AQ10," - ")</f>
        <v>5</v>
      </c>
      <c r="F10" s="228">
        <f>IF(ISNUMBER(Datos!L10+Datos!K10-Datos!J10),Datos!L10+Datos!K10-Datos!J10," - ")</f>
        <v>441</v>
      </c>
      <c r="G10" s="336">
        <f>IF(ISNUMBER(Datos!I10),Datos!I10," - ")</f>
        <v>441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203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799</v>
      </c>
      <c r="AC10" s="229">
        <f>IF(ISNUMBER(Datos!Q10),Datos!Q10," - ")</f>
        <v>164</v>
      </c>
      <c r="AD10" s="337"/>
      <c r="AE10" s="487"/>
      <c r="AF10" s="335">
        <f>IF(ISNUMBER(Datos!L10),Datos!L10,"-")</f>
        <v>526</v>
      </c>
      <c r="AG10" s="337"/>
      <c r="AH10" s="337"/>
      <c r="AI10" s="337"/>
      <c r="AJ10" s="337"/>
      <c r="AK10" s="337"/>
      <c r="AL10" s="482"/>
      <c r="AM10" s="338">
        <f>IF(ISNUMBER(Datos!R10),Datos!R10," - ")</f>
        <v>589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319</v>
      </c>
      <c r="BD10" s="232">
        <f>IF(ISNUMBER(Datos!N10),Datos!N10," - ")</f>
        <v>336</v>
      </c>
      <c r="BE10" s="232" t="str">
        <f>IF(ISNUMBER(Datos!BW10),Datos!BW10," - ")</f>
        <v xml:space="preserve"> - </v>
      </c>
      <c r="BF10" s="231" t="str">
        <f>IF(ISNUMBER(Datos!BX10),Datos!BX10," - ")</f>
        <v xml:space="preserve"> - </v>
      </c>
      <c r="BG10" s="246">
        <f>IF(ISNUMBER(Datos!K10/Datos!J10),Datos!K10/Datos!J10," - ")</f>
        <v>0.90384615384615385</v>
      </c>
      <c r="BH10" s="263">
        <f>IF(ISNUMBER(((Datos!L10/Datos!K10)*11)/factor_trimestre),((Datos!L10/Datos!K10)*11)/factor_trimestre," - ")</f>
        <v>7.2415519399249062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7.0909090909090908E-2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8</v>
      </c>
      <c r="B11" s="510" t="s">
        <v>246</v>
      </c>
      <c r="C11" s="7" t="str">
        <f>Datos!A11</f>
        <v xml:space="preserve">Jdos. Familia                                   </v>
      </c>
      <c r="D11" s="511"/>
      <c r="E11" s="263">
        <f>IF(ISNUMBER(Datos!AQ11),Datos!AQ11," - ")</f>
        <v>8</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408</v>
      </c>
      <c r="O11" s="337"/>
      <c r="P11" s="337"/>
      <c r="Q11" s="229">
        <f>IF(ISNUMBER(Datos!P11),Datos!P11,0)</f>
        <v>959</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1220</v>
      </c>
      <c r="AD11" s="337"/>
      <c r="AE11" s="487"/>
      <c r="AF11" s="335" t="str">
        <f>IF(ISNUMBER(IF(J_V="SI",Datos!L11,Datos!L11+Datos!AB11)-IF(Monitorios="SI",Datos!CD11,0)),
                          IF(J_V="SI",Datos!L11,Datos!L11+Datos!AB11)-IF(Monitorios="SI",Datos!CD11,0),
                          " - ")</f>
        <v xml:space="preserve"> - </v>
      </c>
      <c r="AG11" s="337"/>
      <c r="AH11" s="337">
        <f>IF(ISNUMBER(Datos!AB11),Datos!AB11,"-")</f>
        <v>114</v>
      </c>
      <c r="AI11" s="337"/>
      <c r="AJ11" s="337"/>
      <c r="AK11" s="337"/>
      <c r="AL11" s="482"/>
      <c r="AM11" s="338">
        <f>IF(ISNUMBER(Datos!R11),Datos!R11," - ")</f>
        <v>3429</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3265</v>
      </c>
      <c r="BD11" s="232">
        <f>IF(ISNUMBER(Datos!N11),Datos!N11," - ")</f>
        <v>1966</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0.99986486486486481</v>
      </c>
      <c r="BH11" s="263">
        <f>IF(ISNUMBER(((IF(J_V="SI",Datos!L11/Datos!K11,(Datos!L11+Datos!AB11)/(Datos!K11+Datos!AA11)))*11)/factor_trimestre),((IF(J_V="SI",Datos!L11/Datos!K11,(Datos!L11+Datos!AB11)/(Datos!K11+Datos!AA11)))*11)/factor_trimestre," - ")</f>
        <v>4.4154615488579534</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-7.0731707317073164E-2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66</v>
      </c>
      <c r="F13" s="901">
        <f t="shared" si="0"/>
        <v>441</v>
      </c>
      <c r="G13" s="901">
        <f t="shared" si="0"/>
        <v>441</v>
      </c>
      <c r="H13" s="902">
        <f t="shared" si="0"/>
        <v>0</v>
      </c>
      <c r="I13" s="901">
        <f t="shared" si="0"/>
        <v>0</v>
      </c>
      <c r="J13" s="870">
        <f t="shared" si="0"/>
        <v>0</v>
      </c>
      <c r="K13" s="870">
        <f t="shared" si="0"/>
        <v>0</v>
      </c>
      <c r="L13" s="902">
        <f t="shared" si="0"/>
        <v>0</v>
      </c>
      <c r="M13" s="902">
        <f t="shared" si="0"/>
        <v>0</v>
      </c>
      <c r="N13" s="902">
        <f t="shared" si="0"/>
        <v>8960</v>
      </c>
      <c r="O13" s="903">
        <f t="shared" si="0"/>
        <v>0</v>
      </c>
      <c r="P13" s="903">
        <f t="shared" si="0"/>
        <v>0</v>
      </c>
      <c r="Q13" s="902">
        <f t="shared" si="0"/>
        <v>20630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799</v>
      </c>
      <c r="AC13" s="902">
        <f t="shared" si="1"/>
        <v>24818</v>
      </c>
      <c r="AD13" s="902">
        <f t="shared" si="1"/>
        <v>0</v>
      </c>
      <c r="AE13" s="902">
        <f t="shared" si="1"/>
        <v>0</v>
      </c>
      <c r="AF13" s="902">
        <f t="shared" si="1"/>
        <v>526</v>
      </c>
      <c r="AG13" s="902">
        <f t="shared" si="1"/>
        <v>0</v>
      </c>
      <c r="AH13" s="902">
        <f t="shared" si="1"/>
        <v>1190</v>
      </c>
      <c r="AI13" s="902">
        <f t="shared" si="1"/>
        <v>0</v>
      </c>
      <c r="AJ13" s="902">
        <f t="shared" si="1"/>
        <v>0</v>
      </c>
      <c r="AK13" s="902">
        <f t="shared" si="1"/>
        <v>0</v>
      </c>
      <c r="AL13" s="902">
        <f t="shared" si="1"/>
        <v>0</v>
      </c>
      <c r="AM13" s="902">
        <f t="shared" si="1"/>
        <v>70994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27859</v>
      </c>
      <c r="BD13" s="902">
        <f t="shared" si="1"/>
        <v>43452</v>
      </c>
      <c r="BE13" s="902">
        <f t="shared" si="1"/>
        <v>0</v>
      </c>
      <c r="BF13" s="902">
        <f t="shared" si="1"/>
        <v>0</v>
      </c>
      <c r="BG13" s="902">
        <f>IF(ISNUMBER(Datos!K13/Datos!J13),Datos!K13/Datos!J13," - ")</f>
        <v>0.97443925473489712</v>
      </c>
      <c r="BH13" s="906">
        <f>IF(ISNUMBER(((Datos!L13/Datos!K13)*11)/factor_trimestre),((Datos!L13/Datos!K13)*11)/factor_trimestre," - ")</f>
        <v>6.4341743481696083</v>
      </c>
      <c r="BI13" s="902">
        <f>IF(ISNUMBER('Resol  Asuntos'!D13/NºAsuntos!G13),'Resol  Asuntos'!D13/NºAsuntos!G13," - ")</f>
        <v>0.26843251368226317</v>
      </c>
      <c r="BJ13" s="902" t="str">
        <f>IF(ISNUMBER(Datos!CI13/Datos!CJ13),Datos!CI13/Datos!CJ13," - ")</f>
        <v xml:space="preserve"> - </v>
      </c>
      <c r="BK13" s="902">
        <f>SUBTOTAL(9,BK8:BK12)</f>
        <v>0</v>
      </c>
      <c r="BL13" s="902">
        <f>IF(ISNUMBER((I13-AB13+L13)/(F13)),(I13-AB13+L13)/(F13)," - ")</f>
        <v>-1.8117913832199546</v>
      </c>
      <c r="BM13" s="907">
        <f>SUBTOTAL(9,BM9:BM12)</f>
        <v>-5.5727440066745751E-2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33</v>
      </c>
      <c r="B15" s="597" t="s">
        <v>396</v>
      </c>
      <c r="C15" s="603" t="str">
        <f>Datos!A15</f>
        <v xml:space="preserve">Jdos. Instrucción                               </v>
      </c>
      <c r="D15" s="604"/>
      <c r="E15" s="1168">
        <f>IF(ISNUMBER(Datos!AQ15),Datos!AQ15," - ")</f>
        <v>33</v>
      </c>
      <c r="F15" s="598">
        <f>IF(ISNUMBER(AF15+AB15-Datos!J15-L15),AF15+AB15-Datos!J15-L15," - ")</f>
        <v>17053</v>
      </c>
      <c r="G15" s="601">
        <f>IF(ISNUMBER(IF(D_I="SI",Datos!I15,Datos!I15+Datos!AC15)),IF(D_I="SI",Datos!I15,Datos!I15+Datos!AC15)," - ")</f>
        <v>14784</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9699</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110299</v>
      </c>
      <c r="AC15" s="229">
        <f>IF(ISNUMBER(Datos!Q15),Datos!Q15," - ")</f>
        <v>9723</v>
      </c>
      <c r="AD15" s="337"/>
      <c r="AE15" s="487"/>
      <c r="AF15" s="599">
        <f>IF(ISNUMBER(IF(D_I="SI",Datos!L15,Datos!L15+Datos!AF15)),IF(D_I="SI",Datos!L15,Datos!L15+Datos!AF15)," - ")</f>
        <v>18669</v>
      </c>
      <c r="AG15" s="337"/>
      <c r="AH15" s="337"/>
      <c r="AI15" s="337"/>
      <c r="AJ15" s="337"/>
      <c r="AK15" s="337"/>
      <c r="AL15" s="482"/>
      <c r="AM15" s="338">
        <f>IF(ISNUMBER(Datos!R15),Datos!R15," - ")</f>
        <v>3934</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20674</v>
      </c>
      <c r="BD15" s="232">
        <f>IF(ISNUMBER(Datos!N15),Datos!N15," - ")</f>
        <v>57107</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0.98556046999955327</v>
      </c>
      <c r="BH15" s="263">
        <f>IF(ISNUMBER(((IF(D_I="SI",Datos!L15/Datos!K15,(Datos!L15+Datos!AF15)/(Datos!K15+Datos!AE15)))*11)/factor_trimestre),((IF(D_I="SI",Datos!L15/Datos!K15,(Datos!L15+Datos!AF15)/(Datos!K15+Datos!AE15)))*11)/factor_trimestre," - ")</f>
        <v>1.8618391825855174</v>
      </c>
      <c r="BI15" s="246">
        <f>IF(ISNUMBER('Resol  Asuntos'!D15/NºAsuntos!G15),'Resol  Asuntos'!D15/NºAsuntos!G15," - ")</f>
        <v>0.18743596950108343</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5</v>
      </c>
      <c r="B17" s="510" t="s">
        <v>396</v>
      </c>
      <c r="C17" s="7" t="str">
        <f>Datos!A17</f>
        <v>Jdos. Violencia contra la mujer</v>
      </c>
      <c r="D17" s="511"/>
      <c r="E17" s="1028">
        <f>IF(ISNUMBER(Datos!AQ17),Datos!AQ17," - ")</f>
        <v>5</v>
      </c>
      <c r="F17" s="228" t="str">
        <f>IF(ISNUMBER(AF17+AB17-I17-L17),AF17+AB17-I17-L17," - ")</f>
        <v xml:space="preserve"> - </v>
      </c>
      <c r="G17" s="336">
        <f>IF(ISNUMBER(IF(D_I="SI",Datos!I17,Datos!I17+Datos!AC17)),IF(D_I="SI",Datos!I17,Datos!I17+Datos!AC17)," - ")</f>
        <v>1438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7335</v>
      </c>
      <c r="AC17" s="229">
        <f>IF(ISNUMBER(Datos!Q17),Datos!Q17," - ")</f>
        <v>24</v>
      </c>
      <c r="AD17" s="337"/>
      <c r="AE17" s="487"/>
      <c r="AF17" s="335">
        <f>IF(ISNUMBER(Datos!L17),Datos!L17,"-")</f>
        <v>1803</v>
      </c>
      <c r="AG17" s="337"/>
      <c r="AH17" s="337"/>
      <c r="AI17" s="337"/>
      <c r="AJ17" s="337"/>
      <c r="AK17" s="337"/>
      <c r="AL17" s="482"/>
      <c r="AM17" s="338">
        <f>IF(ISNUMBER(Datos!R17),Datos!R17," - ")</f>
        <v>19</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130</v>
      </c>
      <c r="BD17" s="232">
        <f>IF(ISNUMBER(Datos!N17),Datos!N17," - ")</f>
        <v>4511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0.95894888220682439</v>
      </c>
      <c r="BH17" s="263">
        <f>IF(ISNUMBER(((IF(D_I="SI",Datos!L17/Datos!K17,(Datos!L17+Datos!AF17)/(Datos!K17+Datos!AE17)))*11)/factor_trimestre),((IF(D_I="SI",Datos!L17/Datos!K17,(Datos!L17+Datos!AF17)/(Datos!K17+Datos!AE17)))*11)/factor_trimestre," - ")</f>
        <v>2.7038854805725974</v>
      </c>
      <c r="BI17" s="246">
        <f>IF(ISNUMBER('Resol  Asuntos'!D17/NºAsuntos!G17),'Resol  Asuntos'!D17/NºAsuntos!G17," - ")</f>
        <v>1.7723244717109749E-2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38</v>
      </c>
      <c r="F18" s="901">
        <f>SUBTOTAL(9,F15:F17)</f>
        <v>17053</v>
      </c>
      <c r="G18" s="901">
        <f>SUBTOTAL(9,G15:G17)</f>
        <v>16222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9724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117634</v>
      </c>
      <c r="AC18" s="902">
        <f t="shared" si="4"/>
        <v>9747</v>
      </c>
      <c r="AD18" s="902">
        <f t="shared" si="4"/>
        <v>0</v>
      </c>
      <c r="AE18" s="902">
        <f t="shared" si="4"/>
        <v>0</v>
      </c>
      <c r="AF18" s="902">
        <f t="shared" si="4"/>
        <v>20472</v>
      </c>
      <c r="AG18" s="902">
        <f t="shared" si="4"/>
        <v>0</v>
      </c>
      <c r="AH18" s="902">
        <f t="shared" si="4"/>
        <v>0</v>
      </c>
      <c r="AI18" s="902">
        <f t="shared" si="4"/>
        <v>0</v>
      </c>
      <c r="AJ18" s="902">
        <f t="shared" si="4"/>
        <v>0</v>
      </c>
      <c r="AK18" s="902">
        <f t="shared" si="4"/>
        <v>0</v>
      </c>
      <c r="AL18" s="902">
        <f t="shared" si="4"/>
        <v>0</v>
      </c>
      <c r="AM18" s="902">
        <f t="shared" si="4"/>
        <v>3953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20804</v>
      </c>
      <c r="BD18" s="902">
        <f t="shared" si="4"/>
        <v>61618</v>
      </c>
      <c r="BE18" s="902">
        <f t="shared" si="4"/>
        <v>0</v>
      </c>
      <c r="BF18" s="902">
        <f t="shared" si="4"/>
        <v>0</v>
      </c>
      <c r="BG18" s="902">
        <f>IF(ISNUMBER(Datos!K18/Datos!J18),Datos!K18/Datos!J18," - ")</f>
        <v>0.98385801746345058</v>
      </c>
      <c r="BH18" s="906">
        <f>IF(ISNUMBER(((Datos!L18/Datos!K18)*11)/factor_trimestre),((Datos!L18/Datos!K18)*11)/factor_trimestre," - ")</f>
        <v>1.9143444922386386</v>
      </c>
      <c r="BI18" s="902">
        <f>SUBTOTAL(9,BI15:BI17)</f>
        <v>0.20515921421819319</v>
      </c>
      <c r="BJ18" s="902">
        <f>SUBTOTAL(9,BJ15:BJ17)</f>
        <v>0</v>
      </c>
      <c r="BK18" s="902">
        <f>SUBTOTAL(9,BK15:BK17)</f>
        <v>0</v>
      </c>
      <c r="BL18" s="902">
        <f>IF(ISNUMBER((I18-AB18+L18)/(F18)),(I18-AB18+L18)/(F18)," - ")</f>
        <v>-6.898141089544362</v>
      </c>
      <c r="BM18" s="908">
        <f>IF(ISNUMBER((Datos!P18-Datos!Q18)/(Datos!R18-Datos!P18+Datos!Q18)),(Datos!P18-Datos!Q18)/(Datos!R18-Datos!P18+Datos!Q18)," - ")</f>
        <v>-5.7847082494969816E-3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104</v>
      </c>
      <c r="F19" s="823">
        <f t="shared" si="6"/>
        <v>17494</v>
      </c>
      <c r="G19" s="823">
        <f t="shared" si="6"/>
        <v>16663</v>
      </c>
      <c r="H19" s="825">
        <f t="shared" si="6"/>
        <v>0</v>
      </c>
      <c r="I19" s="823">
        <f t="shared" si="6"/>
        <v>0</v>
      </c>
      <c r="J19" s="825">
        <f t="shared" si="6"/>
        <v>0</v>
      </c>
      <c r="K19" s="825">
        <f t="shared" si="6"/>
        <v>0</v>
      </c>
      <c r="L19" s="884">
        <f t="shared" si="6"/>
        <v>0</v>
      </c>
      <c r="M19" s="884">
        <f t="shared" si="6"/>
        <v>0</v>
      </c>
      <c r="N19" s="884">
        <f t="shared" si="6"/>
        <v>8960</v>
      </c>
      <c r="O19" s="884">
        <f t="shared" si="6"/>
        <v>0</v>
      </c>
      <c r="P19" s="884">
        <f t="shared" si="6"/>
        <v>0</v>
      </c>
      <c r="Q19" s="825">
        <f t="shared" si="6"/>
        <v>30354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118433</v>
      </c>
      <c r="AC19" s="824">
        <f t="shared" si="7"/>
        <v>34565</v>
      </c>
      <c r="AD19" s="824">
        <f t="shared" si="7"/>
        <v>0</v>
      </c>
      <c r="AE19" s="824">
        <f t="shared" si="7"/>
        <v>0</v>
      </c>
      <c r="AF19" s="831">
        <f t="shared" si="7"/>
        <v>20998</v>
      </c>
      <c r="AG19" s="831">
        <f t="shared" si="7"/>
        <v>0</v>
      </c>
      <c r="AH19" s="831">
        <f t="shared" si="7"/>
        <v>1190</v>
      </c>
      <c r="AI19" s="831">
        <f t="shared" si="7"/>
        <v>0</v>
      </c>
      <c r="AJ19" s="824">
        <f t="shared" si="7"/>
        <v>0</v>
      </c>
      <c r="AK19" s="831">
        <f t="shared" si="7"/>
        <v>0</v>
      </c>
      <c r="AL19" s="831">
        <f t="shared" si="7"/>
        <v>0</v>
      </c>
      <c r="AM19" s="831">
        <f t="shared" si="7"/>
        <v>74947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48663</v>
      </c>
      <c r="BD19" s="823">
        <f t="shared" si="7"/>
        <v>105070</v>
      </c>
      <c r="BE19" s="823">
        <f t="shared" si="7"/>
        <v>0</v>
      </c>
      <c r="BF19" s="833">
        <f t="shared" si="7"/>
        <v>0</v>
      </c>
      <c r="BG19" s="918">
        <f>IF(ISNUMBER(Datos!K19/Datos!J19),Datos!K19/Datos!J19," - ")</f>
        <v>0.97962936505376097</v>
      </c>
      <c r="BH19" s="918">
        <f>IF(ISNUMBER(((Datos!L19/Datos!K19)*11)/factor_trimestre),((Datos!L19/Datos!K19)*11)/factor_trimestre," - ")</f>
        <v>3.9328186527034847</v>
      </c>
      <c r="BI19" s="816">
        <f>IF(ISNUMBER(Datos!J19/Datos!I19),Datos!J19/Datos!I19," - ")</f>
        <v>3.1806707907004017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-6.769921115811135</v>
      </c>
      <c r="BM19" s="892">
        <f>IF(ISNUMBER((Datos!P19-Datos!Q19+R19)/(Datos!R19-Datos!P19+Datos!Q19-R19)),(Datos!P19-Datos!Q19+R19)/(Datos!R19-Datos!P19+Datos!Q19-R19)," - ")</f>
        <v>-5.3197402663028373E-2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6665.2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25.01221923602764</v>
      </c>
      <c r="F21" s="554">
        <f>IF(ISNUMBER(STDEV(F8:F18)),STDEV(F8:F18),"-")</f>
        <v>9590.9426717780625</v>
      </c>
      <c r="G21" s="555">
        <f>IF(ISNUMBER(STDEV(G8:G18)),STDEV(G8:G18),"-")</f>
        <v>8094.0146219289718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60904.856113449605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12132.643209049513</v>
      </c>
      <c r="BD21" s="554"/>
      <c r="BE21" s="554">
        <f>IF(ISNUMBER(STDEV(BE8:BE18)),STDEV(BE8:BE18),"-")</f>
        <v>0</v>
      </c>
      <c r="BF21" s="559">
        <f>IF(ISNUMBER(STDEV(BF8:BF18)),STDEV(BF8:BF18),"-")</f>
        <v>0</v>
      </c>
      <c r="BG21" s="778">
        <f>IF(ISNUMBER(STDEV(BG8:BG18)),STDEV(BG8:BG18),"-")</f>
        <v>3.1231767506069576E-2</v>
      </c>
      <c r="BH21" s="779">
        <f>IF(ISNUMBER(STDEV(BH8:BH18)),STDEV(BH8:BH18),"-")</f>
        <v>2.2613324260819359</v>
      </c>
      <c r="BI21" s="252">
        <f>IF(ISNUMBER(STDEV(BI8:BI18)),STDEV(BI8:BI18),"-")</f>
        <v>0.10710892164798091</v>
      </c>
      <c r="BJ21" s="233" t="str">
        <f>IF(ISNUMBER(BL21/BM21),BL21/BM21," - ")</f>
        <v xml:space="preserve"> - </v>
      </c>
      <c r="BK21" s="578"/>
      <c r="BL21" s="562">
        <f>IF(ISNUMBER(STDEV(BL8:BL18)),STDEV(BL8:BL18),"-")</f>
        <v>3.596592368828194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VLhB+/I0542JFD0gZAUvYITzISgt2utPKiizTgUYhJQdppaJtN3NnUvBDqEim+pVmD1cCuhz5BfBLb3pJepniQ==" saltValue="SAj+gzYviKNIWM98xh8Bc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BARCELONA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53</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19468</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23434</v>
      </c>
      <c r="AA9" s="335" t="str">
        <f>IF(ISNUMBER(IF(J_V="SI",Datos!L9,Datos!L9+Datos!AB9)-IF(Monitorios="SI",Datos!CD9,0)),
                          IF(J_V="SI",Datos!L9,Datos!L9+Datos!AB9)-IF(Monitorios="SI",Datos!CD9,0),
                          " - ")</f>
        <v xml:space="preserve"> - </v>
      </c>
      <c r="AB9" s="337"/>
      <c r="AC9" s="337"/>
      <c r="AD9" s="487"/>
      <c r="AE9" s="487">
        <f>IF(ISNUMBER(Datos!R9),Datos!R9," - ")</f>
        <v>66976</v>
      </c>
      <c r="AF9" s="232" t="str">
        <f>IF(ISNUMBER(Datos!BV9),Datos!BV9," - ")</f>
        <v xml:space="preserve"> - </v>
      </c>
      <c r="AG9" s="228" t="str">
        <f>IF(ISNUMBER(Datos!DV9),Datos!DV9," - ")</f>
        <v xml:space="preserve"> - </v>
      </c>
      <c r="AH9" s="301"/>
      <c r="AI9" s="230"/>
      <c r="AJ9" s="228">
        <f>IF(ISNUMBER(Datos!M9),Datos!M9," - ")</f>
        <v>24275</v>
      </c>
      <c r="AK9" s="232">
        <f>IF(ISNUMBER(Datos!N9),Datos!N9," - ")</f>
        <v>41150</v>
      </c>
      <c r="AL9" s="232" t="str">
        <f>IF(ISNUMBER(Datos!BW9),Datos!BW9," - ")</f>
        <v xml:space="preserve"> - </v>
      </c>
      <c r="AM9" s="231" t="str">
        <f>IF(ISNUMBER(Datos!BX9),Datos!BX9," - ")</f>
        <v xml:space="preserve"> - </v>
      </c>
      <c r="AN9" s="246"/>
      <c r="AO9" s="263">
        <f>IF(ISNUMBER(((NºAsuntos!I9/NºAsuntos!G9)*11)/factor_trimestre),((NºAsuntos!I9/NºAsuntos!G9)*11)/factor_trimestre," - ")</f>
        <v>6.1243069068692071</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-5.5904823658763494E-2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5</v>
      </c>
      <c r="B10" s="510" t="s">
        <v>246</v>
      </c>
      <c r="C10" s="7" t="str">
        <f>Datos!A10</f>
        <v>Jdos. Violencia contra la mujer</v>
      </c>
      <c r="D10" s="511"/>
      <c r="E10" s="1171">
        <f>IF(ISNUMBER(Datos!AQ10),Datos!AQ10," - ")</f>
        <v>5</v>
      </c>
      <c r="F10" s="228">
        <f>IF(ISNUMBER(Datos!L10+Datos!K10-Datos!J10),Datos!L10+Datos!K10-Datos!J10," - ")</f>
        <v>441</v>
      </c>
      <c r="G10" s="228">
        <f>IF(ISNUMBER(Datos!I10),Datos!I10," - ")</f>
        <v>441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203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799</v>
      </c>
      <c r="Z10" s="622">
        <f>IF(ISNUMBER(Datos!Q10),Datos!Q10," - ")</f>
        <v>164</v>
      </c>
      <c r="AA10" s="335">
        <f>IF(ISNUMBER(Datos!L10),Datos!L10,"-")</f>
        <v>526</v>
      </c>
      <c r="AB10" s="337"/>
      <c r="AC10" s="337"/>
      <c r="AD10" s="487"/>
      <c r="AE10" s="487">
        <f>IF(ISNUMBER(Datos!R10),Datos!R10," - ")</f>
        <v>589</v>
      </c>
      <c r="AF10" s="232" t="str">
        <f>IF(ISNUMBER(Datos!BV10),Datos!BV10," - ")</f>
        <v xml:space="preserve"> - </v>
      </c>
      <c r="AG10" s="228" t="str">
        <f>IF(ISNUMBER(Datos!DV10),Datos!DV10," - ")</f>
        <v xml:space="preserve"> - </v>
      </c>
      <c r="AH10" s="301"/>
      <c r="AI10" s="230"/>
      <c r="AJ10" s="228">
        <f>IF(ISNUMBER(Datos!M10),Datos!M10," - ")</f>
        <v>319</v>
      </c>
      <c r="AK10" s="232">
        <f>IF(ISNUMBER(Datos!N10),Datos!N10," - ")</f>
        <v>336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7.2415519399249062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7.0909090909090908E-2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8</v>
      </c>
      <c r="B11" s="510" t="s">
        <v>246</v>
      </c>
      <c r="C11" s="7" t="str">
        <f>Datos!A11</f>
        <v xml:space="preserve">Jdos. Familia                                   </v>
      </c>
      <c r="D11" s="511"/>
      <c r="E11" s="1171">
        <f>IF(ISNUMBER(Datos!AQ11),Datos!AQ11," - ")</f>
        <v>8</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959</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1220</v>
      </c>
      <c r="AA11" s="335" t="str">
        <f>IF(ISNUMBER(IF(J_V="SI",Datos!L11,Datos!L11+Datos!AB11)-IF(Monitorios="SI",Datos!CD11,0)),
                          IF(J_V="SI",Datos!L11,Datos!L11+Datos!AB11)-IF(Monitorios="SI",Datos!CD11,0),
                          " - ")</f>
        <v xml:space="preserve"> - </v>
      </c>
      <c r="AB11" s="337"/>
      <c r="AC11" s="337"/>
      <c r="AD11" s="487"/>
      <c r="AE11" s="487">
        <f>IF(ISNUMBER(Datos!R11),Datos!R11," - ")</f>
        <v>3429</v>
      </c>
      <c r="AF11" s="232" t="str">
        <f>IF(ISNUMBER(Datos!BV11),Datos!BV11," - ")</f>
        <v xml:space="preserve"> - </v>
      </c>
      <c r="AG11" s="228" t="str">
        <f>IF(ISNUMBER(Datos!DV11),Datos!DV11," - ")</f>
        <v xml:space="preserve"> - </v>
      </c>
      <c r="AH11" s="301"/>
      <c r="AI11" s="230"/>
      <c r="AJ11" s="228">
        <f>IF(ISNUMBER(Datos!M11),Datos!M11," - ")</f>
        <v>3265</v>
      </c>
      <c r="AK11" s="232">
        <f>IF(ISNUMBER(Datos!N11),Datos!N11," - ")</f>
        <v>1966</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4.4154615488579534</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-7.0731707317073164E-2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66</v>
      </c>
      <c r="F13" s="901">
        <f>SUBTOTAL(9,F8:F12)</f>
        <v>441</v>
      </c>
      <c r="G13" s="901">
        <f>SUBTOTAL(9,G8:G12)</f>
        <v>441</v>
      </c>
      <c r="H13" s="911"/>
      <c r="I13" s="901">
        <f t="shared" ref="I13:N13" si="0">SUBTOTAL(9,I8:I12)</f>
        <v>0</v>
      </c>
      <c r="J13" s="870">
        <f t="shared" si="0"/>
        <v>0</v>
      </c>
      <c r="K13" s="911">
        <f t="shared" si="0"/>
        <v>0</v>
      </c>
      <c r="L13" s="911">
        <f t="shared" si="0"/>
        <v>0</v>
      </c>
      <c r="M13" s="911">
        <f t="shared" si="0"/>
        <v>0</v>
      </c>
      <c r="N13" s="911">
        <f t="shared" si="0"/>
        <v>20630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799</v>
      </c>
      <c r="Z13" s="910">
        <f t="shared" si="2"/>
        <v>24818</v>
      </c>
      <c r="AA13" s="903">
        <f t="shared" si="2"/>
        <v>526</v>
      </c>
      <c r="AB13" s="903">
        <f t="shared" si="2"/>
        <v>0</v>
      </c>
      <c r="AC13" s="903">
        <f t="shared" si="2"/>
        <v>0</v>
      </c>
      <c r="AD13" s="903">
        <f t="shared" si="2"/>
        <v>0</v>
      </c>
      <c r="AE13" s="903">
        <f t="shared" si="2"/>
        <v>70994</v>
      </c>
      <c r="AF13" s="911">
        <f t="shared" si="2"/>
        <v>0</v>
      </c>
      <c r="AG13" s="911">
        <f t="shared" si="2"/>
        <v>0</v>
      </c>
      <c r="AH13" s="911">
        <f t="shared" si="2"/>
        <v>0</v>
      </c>
      <c r="AI13" s="911">
        <f t="shared" si="2"/>
        <v>0</v>
      </c>
      <c r="AJ13" s="911">
        <f t="shared" si="2"/>
        <v>27859</v>
      </c>
      <c r="AK13" s="911">
        <f t="shared" si="2"/>
        <v>43452</v>
      </c>
      <c r="AL13" s="911">
        <f t="shared" si="2"/>
        <v>0</v>
      </c>
      <c r="AM13" s="911">
        <f t="shared" si="2"/>
        <v>0</v>
      </c>
      <c r="AN13" s="911">
        <f t="shared" si="2"/>
        <v>0</v>
      </c>
      <c r="AO13" s="907">
        <f>IF(ISNUMBER(((NºAsuntos!I13/NºAsuntos!G13)*11)/factor_trimestre),((NºAsuntos!I13/NºAsuntos!G13)*11)/factor_trimestre," - ")</f>
        <v>6.0110807060818621</v>
      </c>
      <c r="AP13" s="913" t="str">
        <f>IF(ISNUMBER(Datos!CI13/Datos!CJ13),Datos!CI13/Datos!CJ13," - ")</f>
        <v xml:space="preserve"> - </v>
      </c>
      <c r="AQ13" s="931">
        <f t="shared" ref="AQ13:AV13" si="3">SUBTOTAL(9,AQ9:AQ12)</f>
        <v>0</v>
      </c>
      <c r="AR13" s="931">
        <f t="shared" si="3"/>
        <v>-5.5727440066745751E-2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33</v>
      </c>
      <c r="B15" s="510" t="s">
        <v>396</v>
      </c>
      <c r="C15" s="163" t="str">
        <f>Datos!A15</f>
        <v xml:space="preserve">Jdos. Instrucción                               </v>
      </c>
      <c r="D15" s="505"/>
      <c r="E15" s="1171">
        <f>IF(ISNUMBER(Datos!AQ15),Datos!AQ15," - ")</f>
        <v>33</v>
      </c>
      <c r="F15" s="336">
        <f>IF(ISNUMBER(AA15+Y15-Datos!J15-K15),AA15+Y15-Datos!J15-K15," - ")</f>
        <v>17053</v>
      </c>
      <c r="G15" s="228">
        <f>IF(ISNUMBER(IF(D_I="SI",Datos!I15,Datos!I15+Datos!AC15)),IF(D_I="SI",Datos!I15,Datos!I15+Datos!AC15)," - ")</f>
        <v>14784</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9699</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110299</v>
      </c>
      <c r="Z15" s="622">
        <f>IF(ISNUMBER(Datos!Q15),Datos!Q15," - ")</f>
        <v>9723</v>
      </c>
      <c r="AA15" s="335">
        <f>IF(ISNUMBER(IF(D_I="SI",Datos!L15,Datos!L15+Datos!AF15)),IF(D_I="SI",Datos!L15,Datos!L15+Datos!AF15)," - ")</f>
        <v>18669</v>
      </c>
      <c r="AB15" s="337"/>
      <c r="AC15" s="337"/>
      <c r="AD15" s="487"/>
      <c r="AE15" s="487">
        <f>IF(ISNUMBER(Datos!R15),Datos!R15," - ")</f>
        <v>3934</v>
      </c>
      <c r="AF15" s="232" t="str">
        <f>IF(ISNUMBER(Datos!BV15),Datos!BV15," - ")</f>
        <v xml:space="preserve"> - </v>
      </c>
      <c r="AG15" s="228"/>
      <c r="AH15" s="301"/>
      <c r="AI15" s="230"/>
      <c r="AJ15" s="228">
        <f>IF(ISNUMBER(Datos!M15),Datos!M15," - ")</f>
        <v>20674</v>
      </c>
      <c r="AK15" s="232">
        <f>IF(ISNUMBER(Datos!N15),Datos!N15," - ")</f>
        <v>57107</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1.8618391825855174</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5</v>
      </c>
      <c r="B17" s="510" t="s">
        <v>396</v>
      </c>
      <c r="C17" s="7" t="str">
        <f>Datos!A17</f>
        <v>Jdos. Violencia contra la mujer</v>
      </c>
      <c r="D17" s="511"/>
      <c r="E17" s="1171">
        <f>IF(ISNUMBER(Datos!AQ17),Datos!AQ17," - ")</f>
        <v>5</v>
      </c>
      <c r="F17" s="228" t="str">
        <f>IF(ISNUMBER(AA17+Y17-I17-K17),AA17+Y17-I17-K17," - ")</f>
        <v xml:space="preserve"> - </v>
      </c>
      <c r="G17" s="526">
        <f>IF(ISNUMBER(IF(D_I="SI",Datos!I17,Datos!I17+Datos!AC17)),IF(D_I="SI",Datos!I17,Datos!I17+Datos!AC17)," - ")</f>
        <v>1438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7335</v>
      </c>
      <c r="Z17" s="622">
        <f>IF(ISNUMBER(Datos!Q17),Datos!Q17," - ")</f>
        <v>24</v>
      </c>
      <c r="AA17" s="335">
        <f>IF(ISNUMBER(Datos!L17),Datos!L17,"-")</f>
        <v>1803</v>
      </c>
      <c r="AB17" s="337"/>
      <c r="AC17" s="337"/>
      <c r="AD17" s="487"/>
      <c r="AE17" s="487">
        <f>IF(ISNUMBER(Datos!R17),Datos!R17," - ")</f>
        <v>19</v>
      </c>
      <c r="AF17" s="232" t="str">
        <f>IF(ISNUMBER(Datos!BV17),Datos!BV17," - ")</f>
        <v xml:space="preserve"> - </v>
      </c>
      <c r="AG17" s="228" t="str">
        <f>IF(ISNUMBER(Datos!DV17),Datos!DV17," - ")</f>
        <v xml:space="preserve"> - </v>
      </c>
      <c r="AH17" s="301"/>
      <c r="AI17" s="230"/>
      <c r="AJ17" s="228">
        <f>IF(ISNUMBER(Datos!M17),Datos!M17," - ")</f>
        <v>130</v>
      </c>
      <c r="AK17" s="232">
        <f>IF(ISNUMBER(Datos!N17),Datos!N17," - ")</f>
        <v>4511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2.7038854805725974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38</v>
      </c>
      <c r="F18" s="901">
        <f>SUBTOTAL(9,F15:F17)</f>
        <v>17053</v>
      </c>
      <c r="G18" s="901">
        <f>SUBTOTAL(9,G15:G17)</f>
        <v>16222</v>
      </c>
      <c r="H18" s="935">
        <f>SUBTOTAL(9,H15:H17)</f>
        <v>0</v>
      </c>
      <c r="I18" s="914">
        <f>SUBTOTAL(9,I15:I17)</f>
        <v>0</v>
      </c>
      <c r="J18" s="870">
        <f>SUBTOTAL(9,J14:J17)</f>
        <v>0</v>
      </c>
      <c r="K18" s="935">
        <f t="shared" ref="K18:S18" si="4">SUBTOTAL(9,K15:K17)</f>
        <v>0</v>
      </c>
      <c r="L18" s="935">
        <f t="shared" si="4"/>
        <v>0</v>
      </c>
      <c r="M18" s="935">
        <f t="shared" si="4"/>
        <v>0</v>
      </c>
      <c r="N18" s="935">
        <f t="shared" si="4"/>
        <v>9724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117634</v>
      </c>
      <c r="Z18" s="935">
        <f t="shared" si="5"/>
        <v>9747</v>
      </c>
      <c r="AA18" s="935">
        <f t="shared" si="5"/>
        <v>20472</v>
      </c>
      <c r="AB18" s="935">
        <f t="shared" si="5"/>
        <v>0</v>
      </c>
      <c r="AC18" s="935">
        <f t="shared" si="5"/>
        <v>0</v>
      </c>
      <c r="AD18" s="935">
        <f t="shared" si="5"/>
        <v>0</v>
      </c>
      <c r="AE18" s="935">
        <f t="shared" si="5"/>
        <v>3953</v>
      </c>
      <c r="AF18" s="935">
        <f t="shared" si="5"/>
        <v>0</v>
      </c>
      <c r="AG18" s="935">
        <f t="shared" si="5"/>
        <v>0</v>
      </c>
      <c r="AH18" s="935">
        <f t="shared" si="5"/>
        <v>0</v>
      </c>
      <c r="AI18" s="935">
        <f t="shared" si="5"/>
        <v>0</v>
      </c>
      <c r="AJ18" s="935">
        <f t="shared" si="5"/>
        <v>20804</v>
      </c>
      <c r="AK18" s="935">
        <f t="shared" si="5"/>
        <v>61618</v>
      </c>
      <c r="AL18" s="935">
        <f t="shared" si="5"/>
        <v>0</v>
      </c>
      <c r="AM18" s="935">
        <f t="shared" si="5"/>
        <v>0</v>
      </c>
      <c r="AN18" s="935">
        <f t="shared" si="5"/>
        <v>0</v>
      </c>
      <c r="AO18" s="937">
        <f>IF(ISNUMBER(((NºAsuntos!I18/NºAsuntos!G18)*11)/factor_trimestre),((NºAsuntos!I18/NºAsuntos!G18)*11)/factor_trimestre," - ")</f>
        <v>1.9143444922386386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104</v>
      </c>
      <c r="F19" s="823">
        <f t="shared" si="7"/>
        <v>17494</v>
      </c>
      <c r="G19" s="823">
        <f t="shared" si="7"/>
        <v>16663</v>
      </c>
      <c r="H19" s="824">
        <f t="shared" si="7"/>
        <v>0</v>
      </c>
      <c r="I19" s="823">
        <f t="shared" si="7"/>
        <v>0</v>
      </c>
      <c r="J19" s="825">
        <f t="shared" si="7"/>
        <v>0</v>
      </c>
      <c r="K19" s="823">
        <f t="shared" si="7"/>
        <v>0</v>
      </c>
      <c r="L19" s="826">
        <f t="shared" si="7"/>
        <v>0</v>
      </c>
      <c r="M19" s="823">
        <f t="shared" si="7"/>
        <v>0</v>
      </c>
      <c r="N19" s="824">
        <f t="shared" si="7"/>
        <v>30354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118433</v>
      </c>
      <c r="Z19" s="830">
        <f t="shared" si="8"/>
        <v>34565</v>
      </c>
      <c r="AA19" s="831">
        <f t="shared" si="8"/>
        <v>20998</v>
      </c>
      <c r="AB19" s="831">
        <f t="shared" si="8"/>
        <v>0</v>
      </c>
      <c r="AC19" s="831">
        <f t="shared" si="8"/>
        <v>0</v>
      </c>
      <c r="AD19" s="832">
        <f t="shared" si="8"/>
        <v>0</v>
      </c>
      <c r="AE19" s="832">
        <f t="shared" si="8"/>
        <v>74947</v>
      </c>
      <c r="AF19" s="833">
        <f t="shared" si="8"/>
        <v>0</v>
      </c>
      <c r="AG19" s="834">
        <f t="shared" si="8"/>
        <v>0</v>
      </c>
      <c r="AH19" s="835">
        <f t="shared" si="8"/>
        <v>0</v>
      </c>
      <c r="AI19" s="833">
        <f t="shared" si="8"/>
        <v>0</v>
      </c>
      <c r="AJ19" s="823">
        <f t="shared" si="8"/>
        <v>48663</v>
      </c>
      <c r="AK19" s="823">
        <f t="shared" si="8"/>
        <v>105070</v>
      </c>
      <c r="AL19" s="823">
        <f t="shared" si="8"/>
        <v>0</v>
      </c>
      <c r="AM19" s="836">
        <f t="shared" si="8"/>
        <v>0</v>
      </c>
      <c r="AN19" s="826">
        <f>IF(ISNUMBER(Datos!K19/Datos!J19),Datos!K19/Datos!J19," - ")</f>
        <v>0.97962936505376097</v>
      </c>
      <c r="AO19" s="826">
        <f>IF(ISNUMBER(FIND("06",Criterios!A8,1)),(IF(ISNUMBER(((Datos!R19/Datos!Q19)*11)/factor_trimestre),((Datos!R19/Datos!Q19)*11)/factor_trimestre," - ")),(IF(ISNUMBER(((Datos!L19/Datos!K19)*11)/factor_trimestre),((Datos!L19/Datos!K19)*11)/factor_trimestre," - ")))</f>
        <v>3.9328186527034847</v>
      </c>
      <c r="AP19" s="837" t="str">
        <f>IF(ISNUMBER(Datos!CI19/Datos!CJ19),Datos!CI19/Datos!CJ19," - ")</f>
        <v xml:space="preserve"> - </v>
      </c>
      <c r="AQ19" s="837">
        <f>IF(OR(ISNUMBER(FIND("01",Criterios!A8,1)),ISNUMBER(FIND("02",Criterios!A8,1)),ISNUMBER(FIND("03",Criterios!A8,1)),ISNUMBER(FIND("04",Criterios!A8,1))),(J19-Y19+K19)/(F19-K19),(I19-Y19+K19)/(F19-K19))</f>
        <v>-6.769921115811135</v>
      </c>
      <c r="AR19" s="837">
        <f>IF(ISNUMBER((Datos!P19-Datos!Q19+O19)/(Datos!R19-Datos!P19+Datos!Q19-O19)),(Datos!P19-Datos!Q19+O19)/(Datos!R19-Datos!P19+Datos!Q19-O19)," - ")</f>
        <v>-5.3197402663028373E-2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6665.2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9590.9426717780625</v>
      </c>
      <c r="G21" s="555">
        <f>IF(ISNUMBER(STDEV(G8:G18)),STDEV(G8:G18),"-")</f>
        <v>8094.0146219289718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12132.643209049513</v>
      </c>
      <c r="AK21" s="255"/>
      <c r="AL21" s="255">
        <f>IF(ISNUMBER(STDEV(AL8:AL18)),STDEV(AL8:AL18),"-")</f>
        <v>0</v>
      </c>
      <c r="AM21" s="257">
        <f>IF(ISNUMBER(STDEV(AM8:AM18)),STDEV(AM8:AM18),"-")</f>
        <v>0</v>
      </c>
      <c r="AN21" s="542">
        <f>IF(ISNUMBER(STDEV(AN8:AN18)),STDEV(AN8:AN18),"-")</f>
        <v>0</v>
      </c>
      <c r="AO21" s="543">
        <f>IF(ISNUMBER(STDEV(AO8:AO18)),STDEV(AO8:AO18),"-")</f>
        <v>2.2023194047430374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mgbX4kS/iZzJ1R07xxY7quKxey+JkWoF0AW8s7XPVaWO8jZfdqpIBY0zFlXuJJTPNDOSDJznnZUnZ2fcFOlWpw==" saltValue="OKZC9v+4ARr22KzAT9+6A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t3w7yP5PIii0RgPlS5iOJ1m5fUgjV6s8Oipi6Fu50NLQ/zaT77vEcbt+7f8bYV+jdR4ZZuY64/c3FD0LaA05qw==" saltValue="eHpO1BKpRkVLu0rZChTV5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K5CPSWqXj+UA89Mbtq1EIRrfGIemVT+Ts9u6mdvCERFL3dHvoZuYTTEDA7cSvBiMUgsRytQHKUictWN5TOFrw==" saltValue="V0piCKW9vkBbYZHoobbq+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BARCELONA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0.26843251368226317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0.18981045071567898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z7oIXEe+4Z/R3CRvBUmrqsj+amu2l2VHMd9yhhxZ10okBHHRqTrZsGiQ85kwD3oUVw4voCO9530jZsm/vU203Q==" saltValue="3R5pUdswdF0vfY6BBCpBZ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zuzVMvsRm4wBOteSJKMLq4Eh3V6QKuG9X5umxG7WTRaReGMltcnvMHVA/NjXyBOruWDFMY7lsbl8YV1/zrT45w==" saltValue="YJuCCaPYS0ycCBybewkF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BARCELONA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53</v>
      </c>
      <c r="C9" s="406">
        <f>IF(ISNUMBER(IF(J_V="SI",Datos!I9,Datos!I9+Datos!Y9)),IF(J_V="SI",Datos!I9,Datos!I9+Datos!Y9)," - ")</f>
        <v>50914</v>
      </c>
      <c r="D9" s="407">
        <f>IF(ISNUMBER(C9/Datos!BH9),C9/Datos!BH9," - ")</f>
        <v>979.11538461538464</v>
      </c>
      <c r="E9" s="406">
        <f>IF(ISNUMBER(IF(J_V="SI",Datos!J9,Datos!J9+Datos!Z9)),IF(J_V="SI",Datos!J9,Datos!J9+Datos!Z9)," - ")</f>
        <v>98091</v>
      </c>
      <c r="F9" s="407">
        <f>IF(ISNUMBER(E9/B9),E9/B9," - ")</f>
        <v>1850.7735849056603</v>
      </c>
      <c r="G9" s="406">
        <f>IF(ISNUMBER(IF(J_V="SI",Datos!K9,Datos!K9+Datos!AA9)),IF(J_V="SI",Datos!K9,Datos!K9+Datos!AA9)," - ")</f>
        <v>95586</v>
      </c>
      <c r="H9" s="407">
        <f>IF(ISNUMBER(G9/B9),G9/B9," - ")</f>
        <v>1803.5094339622642</v>
      </c>
      <c r="I9" s="406">
        <f>IF(ISNUMBER(IF(J_V="SI",Datos!L9,Datos!L9+Datos!AB9)),IF(J_V="SI",Datos!L9,Datos!L9+Datos!AB9)," - ")</f>
        <v>53218</v>
      </c>
      <c r="J9" s="407">
        <f>IF(ISNUMBER(I9/B9),I9/B9," - ")</f>
        <v>1004.1132075471698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5</v>
      </c>
      <c r="C10" s="406">
        <f>IF(ISNUMBER(Datos!I10),Datos!I10," - ")</f>
        <v>441</v>
      </c>
      <c r="D10" s="407">
        <f>IF(ISNUMBER(C10/Datos!BH10),C10/Datos!BH10," - ")</f>
        <v>88.2</v>
      </c>
      <c r="E10" s="406">
        <f>IF(ISNUMBER(Datos!J10),Datos!J10," - ")</f>
        <v>884</v>
      </c>
      <c r="F10" s="407">
        <f>IF(ISNUMBER(E10/B10),E10/B10," - ")</f>
        <v>176.8</v>
      </c>
      <c r="G10" s="406">
        <f>IF(ISNUMBER(Datos!K10),Datos!K10," - ")</f>
        <v>799</v>
      </c>
      <c r="H10" s="407">
        <f>IF(ISNUMBER(G10/B10),G10/B10," - ")</f>
        <v>159.80000000000001</v>
      </c>
      <c r="I10" s="406">
        <f>IF(ISNUMBER(Datos!L10),Datos!L10," - ")</f>
        <v>526</v>
      </c>
      <c r="J10" s="407">
        <f>IF(ISNUMBER(I10/B10),I10/B10," - ")</f>
        <v>105.2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8</v>
      </c>
      <c r="C11" s="406">
        <f>IF(ISNUMBER(IF(J_V="SI",Datos!I11,Datos!I11+Datos!Y11)),IF(J_V="SI",Datos!I11,Datos!I11+Datos!Y11)," - ")</f>
        <v>2760</v>
      </c>
      <c r="D11" s="407">
        <f>IF(ISNUMBER(C11/Datos!BH11),C11/Datos!BH11," - ")</f>
        <v>345</v>
      </c>
      <c r="E11" s="406">
        <f>IF(ISNUMBER(IF(J_V="SI",Datos!J11,Datos!J11+Datos!Z11)),IF(J_V="SI",Datos!J11,Datos!J11+Datos!Z11)," - ")</f>
        <v>7400</v>
      </c>
      <c r="F11" s="407">
        <f>IF(ISNUMBER(E11/B11),E11/B11," - ")</f>
        <v>925</v>
      </c>
      <c r="G11" s="406">
        <f>IF(ISNUMBER(IF(J_V="SI",Datos!K11,Datos!K11+Datos!AA11)),IF(J_V="SI",Datos!K11,Datos!K11+Datos!AA11)," - ")</f>
        <v>7399</v>
      </c>
      <c r="H11" s="407">
        <f>IF(ISNUMBER(G11/B11),G11/B11," - ")</f>
        <v>924.875</v>
      </c>
      <c r="I11" s="406">
        <f>IF(ISNUMBER(IF(J_V="SI",Datos!L11,Datos!L11+Datos!AB11)),IF(J_V="SI",Datos!L11,Datos!L11+Datos!AB11)," - ")</f>
        <v>2970</v>
      </c>
      <c r="J11" s="407">
        <f>IF(ISNUMBER(I11/B11),I11/B11," - ")</f>
        <v>371.25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66</v>
      </c>
      <c r="C13" s="852">
        <f>SUBTOTAL(9,C8:C12)</f>
        <v>54115</v>
      </c>
      <c r="D13" s="853" t="str">
        <f>IF(ISNUMBER(C13/Datos!BI13),C13/Datos!BI13," - ")</f>
        <v xml:space="preserve"> - </v>
      </c>
      <c r="E13" s="852">
        <f>SUBTOTAL(9,E8:E12)</f>
        <v>106375</v>
      </c>
      <c r="F13" s="853">
        <f>IF(ISNUMBER(E13/B13),E13/B13," - ")</f>
        <v>1611.7424242424242</v>
      </c>
      <c r="G13" s="852">
        <f>SUBTOTAL(9,G8:G12)</f>
        <v>103784</v>
      </c>
      <c r="H13" s="853">
        <f>IF(ISNUMBER(G13/B13),G13/B13," - ")</f>
        <v>1572.4848484848485</v>
      </c>
      <c r="I13" s="852">
        <f>SUBTOTAL(9,I8:I12)</f>
        <v>56714</v>
      </c>
      <c r="J13" s="853">
        <f>IF(ISNUMBER(I13/B13),I13/B13," - ")</f>
        <v>859.30303030303025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33</v>
      </c>
      <c r="C15" s="406">
        <f>IF(ISNUMBER(IF(D_I="SI",Datos!I15,Datos!I15+Datos!AC15)),IF(D_I="SI",Datos!I15,Datos!I15+Datos!AC15)," - ")</f>
        <v>14784</v>
      </c>
      <c r="D15" s="407">
        <f>IF(ISNUMBER(C15/Datos!BH15),C15/Datos!BH15," - ")</f>
        <v>448</v>
      </c>
      <c r="E15" s="406">
        <f>IF(ISNUMBER(IF(D_I="SI",Datos!J15,Datos!J15+Datos!AD15)),IF(D_I="SI",Datos!J15,Datos!J15+Datos!AD15)," - ")</f>
        <v>111915</v>
      </c>
      <c r="F15" s="407">
        <f>IF(ISNUMBER(E15/B15),E15/B15," - ")</f>
        <v>3391.3636363636365</v>
      </c>
      <c r="G15" s="406">
        <f>IF(ISNUMBER(IF(D_I="SI",Datos!K15,Datos!K15+Datos!AE15)),IF(D_I="SI",Datos!K15,Datos!K15+Datos!AE15)," - ")</f>
        <v>110299</v>
      </c>
      <c r="H15" s="407">
        <f>IF(ISNUMBER(G15/B15),G15/B15," - ")</f>
        <v>3342.3939393939395</v>
      </c>
      <c r="I15" s="406">
        <f>IF(ISNUMBER(IF(D_I="SI",Datos!L15,Datos!L15+Datos!AF15)),IF(D_I="SI",Datos!L15,Datos!L15+Datos!AF15)," - ")</f>
        <v>18669</v>
      </c>
      <c r="J15" s="407">
        <f>IF(ISNUMBER(I15/B15),I15/B15," - ")</f>
        <v>565.72727272727275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5</v>
      </c>
      <c r="C17" s="406">
        <f>IF(ISNUMBER(IF(D_I="SI",Datos!I17,Datos!I17+Datos!AC17)),IF(D_I="SI",Datos!I17,Datos!I17+Datos!AC17)," - ")</f>
        <v>1438</v>
      </c>
      <c r="D17" s="407">
        <f>IF(ISNUMBER(C17/Datos!BH17),C17/Datos!BH17," - ")</f>
        <v>287.60000000000002</v>
      </c>
      <c r="E17" s="406">
        <f>IF(ISNUMBER(IF(D_I="SI",Datos!J17,Datos!J17+Datos!AD17)),IF(D_I="SI",Datos!J17,Datos!J17+Datos!AD17)," - ")</f>
        <v>7649</v>
      </c>
      <c r="F17" s="407">
        <f>IF(ISNUMBER(E17/B17),E17/B17," - ")</f>
        <v>1529.8</v>
      </c>
      <c r="G17" s="406">
        <f>IF(ISNUMBER(IF(D_I="SI",Datos!K17,Datos!K17+Datos!AE17)),IF(D_I="SI",Datos!K17,Datos!K17+Datos!AE17)," - ")</f>
        <v>7335</v>
      </c>
      <c r="H17" s="407">
        <f>IF(ISNUMBER(G17/B17),G17/B17," - ")</f>
        <v>1467</v>
      </c>
      <c r="I17" s="406">
        <f>IF(ISNUMBER(IF(D_I="SI",Datos!L17,Datos!L17+Datos!AF17)),IF(D_I="SI",Datos!L17,Datos!L17+Datos!AF17)," - ")</f>
        <v>1803</v>
      </c>
      <c r="J17" s="407">
        <f>IF(ISNUMBER(I17/B17),I17/B17," - ")</f>
        <v>360.6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38</v>
      </c>
      <c r="C18" s="852">
        <f>SUBTOTAL(9,C14:C17)</f>
        <v>16222</v>
      </c>
      <c r="D18" s="853" t="str">
        <f>IF(ISNUMBER(C18/Datos!BI18),C18/Datos!BI18," - ")</f>
        <v xml:space="preserve"> - </v>
      </c>
      <c r="E18" s="852">
        <f>SUBTOTAL(9,E14:E17)</f>
        <v>119564</v>
      </c>
      <c r="F18" s="853">
        <f>IF(ISNUMBER(E18/B18),E18/B18," - ")</f>
        <v>3146.4210526315787</v>
      </c>
      <c r="G18" s="852">
        <f>SUBTOTAL(9,G14:G17)</f>
        <v>117634</v>
      </c>
      <c r="H18" s="853">
        <f>IF(ISNUMBER(G18/B18),G18/B18," - ")</f>
        <v>3095.6315789473683</v>
      </c>
      <c r="I18" s="852">
        <f>SUBTOTAL(9,I14:I17)</f>
        <v>20472</v>
      </c>
      <c r="J18" s="853">
        <f>IF(ISNUMBER(I18/B18),I18/B18," - ")</f>
        <v>538.73684210526312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99</v>
      </c>
      <c r="C19" s="797">
        <f>SUBTOTAL(9,C9:C18)</f>
        <v>70337</v>
      </c>
      <c r="D19" s="798" t="str">
        <f>IF(ISNUMBER(C19/Datos!BI19),C19/Datos!BI19," - ")</f>
        <v xml:space="preserve"> - </v>
      </c>
      <c r="E19" s="797">
        <f>SUBTOTAL(9,E9:E18)</f>
        <v>225939</v>
      </c>
      <c r="F19" s="798">
        <f>IF(ISNUMBER(E19/B19),E19/B19," - ")</f>
        <v>2282.212121212121</v>
      </c>
      <c r="G19" s="797">
        <f>SUBTOTAL(9,G9:G18)</f>
        <v>221418</v>
      </c>
      <c r="H19" s="798">
        <f>IF(ISNUMBER(G19/B19),G19/B19," - ")</f>
        <v>2236.5454545454545</v>
      </c>
      <c r="I19" s="797">
        <f>SUBTOTAL(9,I9:I18)</f>
        <v>77186</v>
      </c>
      <c r="J19" s="798">
        <f>IF(ISNUMBER(I19/B19),I19/B19," - ")</f>
        <v>779.6565656565657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Q+O+A9/0UQB1CFUPBb9MqCiVggNMd7KdWpBSbJhLc2ZeObKlvuCu1fW0qulSv8lyD2+doHRPIemcCFgT0qWR6A==" saltValue="kEmp7K6ErcQpuX7fcIgeY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BARCELONA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53</v>
      </c>
      <c r="B9" s="504" t="s">
        <v>246</v>
      </c>
      <c r="C9" s="163" t="str">
        <f>Datos!A9</f>
        <v xml:space="preserve">Jdos. 1ª Instancia   </v>
      </c>
      <c r="D9" s="505"/>
      <c r="E9" s="685">
        <f>IF(ISNUMBER(Datos!AQ9),Datos!AQ9," - ")</f>
        <v>53</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5</v>
      </c>
      <c r="B10" s="510" t="s">
        <v>246</v>
      </c>
      <c r="C10" s="7" t="str">
        <f>Datos!A10</f>
        <v>Jdos. Violencia contra la mujer</v>
      </c>
      <c r="D10" s="511"/>
      <c r="E10" s="685">
        <f>IF(ISNUMBER(Datos!AQ10),Datos!AQ10," - ")</f>
        <v>5</v>
      </c>
      <c r="F10" s="686">
        <f>IF(ISNUMBER(Datos!L10+Datos!K10-Datos!J10),Datos!L10+Datos!K10-Datos!J10," - ")</f>
        <v>441</v>
      </c>
      <c r="G10" s="687">
        <f>IF(ISNUMBER(Datos!I10),Datos!I10," - ")</f>
        <v>441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203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799</v>
      </c>
      <c r="AC10" s="686" t="str">
        <f>IF(ISNUMBER(IF(D_I="SI",DatosP!K17,DatosP!K17+DatosP!AE17)),IF(D_I="SI",DatosP!K17,DatosP!K17+DatosP!AE17)," - ")</f>
        <v xml:space="preserve"> - </v>
      </c>
      <c r="AD10" s="688"/>
      <c r="AE10" s="688"/>
      <c r="AF10" s="691">
        <f>IF(ISNUMBER(Datos!L10),Datos!L10,"-")</f>
        <v>526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319</v>
      </c>
      <c r="AM10" s="693">
        <f>IF(ISNUMBER(Datos!N10+DatosP!N17),Datos!N10+DatosP!N17," - ")</f>
        <v>336</v>
      </c>
      <c r="AN10" s="693">
        <f>IF(ISNUMBER(Datos!BW10+DatosP!BW17),Datos!BW10+DatosP!BW17," - ")</f>
        <v>0</v>
      </c>
      <c r="AO10" s="694">
        <f>IF(ISNUMBER(Datos!BX10+DatosP!BX17),Datos!BX10+DatosP!BX17," - ")</f>
        <v>0</v>
      </c>
      <c r="AP10" s="696">
        <f>IF(ISNUMBER(((Datos!L10/Datos!K10)*11)/factor_trimestre),((Datos!L10/Datos!K10)*11)/factor_trimestre," - ")</f>
        <v>7.2415519399249062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8</v>
      </c>
      <c r="B11" s="510" t="s">
        <v>246</v>
      </c>
      <c r="C11" s="7" t="str">
        <f>Datos!A11</f>
        <v xml:space="preserve">Jdos. Familia                                   </v>
      </c>
      <c r="D11" s="511"/>
      <c r="E11" s="685">
        <f>IF(ISNUMBER(Datos!AQ11),Datos!AQ11," - ")</f>
        <v>8</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66</v>
      </c>
      <c r="F13" s="941">
        <f t="shared" si="0"/>
        <v>441</v>
      </c>
      <c r="G13" s="941">
        <f t="shared" si="0"/>
        <v>441</v>
      </c>
      <c r="H13" s="941">
        <f t="shared" si="0"/>
        <v>0</v>
      </c>
      <c r="I13" s="943">
        <f t="shared" si="0"/>
        <v>0</v>
      </c>
      <c r="J13" s="942">
        <f t="shared" si="0"/>
        <v>0</v>
      </c>
      <c r="K13" s="942">
        <f t="shared" si="0"/>
        <v>0</v>
      </c>
      <c r="L13" s="944">
        <f t="shared" si="0"/>
        <v>0</v>
      </c>
      <c r="M13" s="944">
        <f t="shared" si="0"/>
        <v>0</v>
      </c>
      <c r="N13" s="942">
        <f t="shared" si="0"/>
        <v>203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799</v>
      </c>
      <c r="AC13" s="942">
        <f t="shared" si="1"/>
        <v>0</v>
      </c>
      <c r="AD13" s="942">
        <f t="shared" si="1"/>
        <v>0</v>
      </c>
      <c r="AE13" s="942">
        <f t="shared" si="1"/>
        <v>0</v>
      </c>
      <c r="AF13" s="942">
        <f t="shared" si="1"/>
        <v>526</v>
      </c>
      <c r="AG13" s="942">
        <f t="shared" si="1"/>
        <v>0</v>
      </c>
      <c r="AH13" s="942">
        <f t="shared" si="1"/>
        <v>0</v>
      </c>
      <c r="AI13" s="942">
        <f t="shared" si="1"/>
        <v>0</v>
      </c>
      <c r="AJ13" s="942">
        <f t="shared" si="1"/>
        <v>0</v>
      </c>
      <c r="AK13" s="942">
        <f t="shared" si="1"/>
        <v>0</v>
      </c>
      <c r="AL13" s="942">
        <f t="shared" si="1"/>
        <v>319</v>
      </c>
      <c r="AM13" s="942">
        <f t="shared" si="1"/>
        <v>336</v>
      </c>
      <c r="AN13" s="942">
        <f t="shared" si="1"/>
        <v>0</v>
      </c>
      <c r="AO13" s="942">
        <f t="shared" si="1"/>
        <v>0</v>
      </c>
      <c r="AP13" s="947">
        <f>IF(ISNUMBER(((Datos!L13/Datos!K13)*11)/factor_trimestre),((Datos!L13/Datos!K13)*11)/factor_trimestre," - ")</f>
        <v>6.4341743481696083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-1.8117913832199546</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33</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5</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1.9143444922386386</v>
      </c>
      <c r="AQ18" s="947">
        <f>IF(ISNUMBER(((Datos!M18/Datos!L18)*11)/factor_trimestre),((Datos!M18/Datos!L18)*11)/factor_trimestre," - ")</f>
        <v>11.178389996092225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-5.7847082494969816E-3</v>
      </c>
      <c r="AW18" s="949">
        <f>IF(ISNUMBER((Datos!Q18-Datos!R18)/(Datos!S18-Datos!Q18+Datos!R18)),(Datos!Q18-Datos!R18)/(Datos!S18-Datos!Q18+Datos!R18)," - ")</f>
        <v>0.78265568012967712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66</v>
      </c>
      <c r="F19" s="954">
        <f t="shared" si="4"/>
        <v>441</v>
      </c>
      <c r="G19" s="954">
        <f t="shared" si="4"/>
        <v>441</v>
      </c>
      <c r="H19" s="954">
        <f t="shared" si="4"/>
        <v>0</v>
      </c>
      <c r="I19" s="955">
        <f t="shared" si="4"/>
        <v>0</v>
      </c>
      <c r="J19" s="956">
        <f t="shared" si="4"/>
        <v>0</v>
      </c>
      <c r="K19" s="956">
        <f t="shared" si="4"/>
        <v>0</v>
      </c>
      <c r="L19" s="956">
        <f t="shared" si="4"/>
        <v>0</v>
      </c>
      <c r="M19" s="956">
        <f t="shared" si="4"/>
        <v>0</v>
      </c>
      <c r="N19" s="955">
        <f t="shared" si="4"/>
        <v>203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799</v>
      </c>
      <c r="AC19" s="960">
        <f t="shared" si="5"/>
        <v>0</v>
      </c>
      <c r="AD19" s="960">
        <f t="shared" si="5"/>
        <v>0</v>
      </c>
      <c r="AE19" s="960">
        <f t="shared" si="5"/>
        <v>0</v>
      </c>
      <c r="AF19" s="961">
        <f t="shared" si="5"/>
        <v>526</v>
      </c>
      <c r="AG19" s="961">
        <f t="shared" si="5"/>
        <v>0</v>
      </c>
      <c r="AH19" s="961">
        <f t="shared" si="5"/>
        <v>0</v>
      </c>
      <c r="AI19" s="961">
        <f t="shared" si="5"/>
        <v>0</v>
      </c>
      <c r="AJ19" s="962">
        <f t="shared" si="5"/>
        <v>0</v>
      </c>
      <c r="AK19" s="962">
        <f t="shared" si="5"/>
        <v>0</v>
      </c>
      <c r="AL19" s="954">
        <f t="shared" si="5"/>
        <v>319</v>
      </c>
      <c r="AM19" s="954">
        <f t="shared" si="5"/>
        <v>336</v>
      </c>
      <c r="AN19" s="954">
        <f t="shared" si="5"/>
        <v>0</v>
      </c>
      <c r="AO19" s="954">
        <f t="shared" si="5"/>
        <v>0</v>
      </c>
      <c r="AP19" s="954">
        <f>IF(ISNUMBER(((Datos!L19/Datos!K19)*11)/factor_trimestre),((Datos!L19/Datos!K19)*11)/factor_trimestre," - ")</f>
        <v>3.9328186527034847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-1.8117913832199546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-5.3197402663028373E-2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294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29.49576240750525</v>
      </c>
      <c r="F21" s="739">
        <f>IF(ISNUMBER(STDEV(F8:F18)),STDEV(F8:F18),"-")</f>
        <v>254.61146871262497</v>
      </c>
      <c r="G21" s="740">
        <f>IF(ISNUMBER(STDEV(G8:G18)),STDEV(G8:G18),"-")</f>
        <v>254.61146871262497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461.30286508251095</v>
      </c>
      <c r="AC21" s="741">
        <f>IF(ISNUMBER(STDEV(AC8:AC18)),STDEV(AC8:AC18),"-")</f>
        <v>0</v>
      </c>
      <c r="AD21" s="744"/>
      <c r="AE21" s="744"/>
      <c r="AF21" s="744"/>
      <c r="AG21" s="744"/>
      <c r="AH21" s="744"/>
      <c r="AI21" s="744"/>
      <c r="AJ21" s="745">
        <f>IF(ISNUMBER(STDEV(AJ8:AJ18)),STDEV(AJ8:AJ18),"-")</f>
        <v>0</v>
      </c>
      <c r="AK21" s="747"/>
      <c r="AL21" s="739">
        <f>IF(ISNUMBER(STDEV(AL8:AL18)),STDEV(AL8:AL18),"-")</f>
        <v>184.17473587149061</v>
      </c>
      <c r="AM21" s="739"/>
      <c r="AN21" s="739">
        <f>IF(ISNUMBER(STDEV(AN8:AN18)),STDEV(AN8:AN18),"-")</f>
        <v>0</v>
      </c>
      <c r="AO21" s="745">
        <f>IF(ISNUMBER(STDEV(AO8:AO18)),STDEV(AO8:AO18),"-")</f>
        <v>0</v>
      </c>
      <c r="AP21" s="782">
        <f>IF(ISNUMBER(STDEV(AP8:AP18)),STDEV(AP8:AP18),"-")</f>
        <v>2.8711164986498896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8oHhbpk2ieg+DQK4cd/Icp3pBeXzv97sHiyJos0fYimNKDTbVi9wTHJ48jPyerk80f0Khy3hnfKEmzuNgZfyxg==" saltValue="oe1F20+Aj1GvC9BFjoA94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BARCELONA</v>
      </c>
      <c r="C3" s="418"/>
      <c r="F3" s="378"/>
      <c r="G3" s="378"/>
      <c r="H3" s="378"/>
    </row>
    <row r="4" spans="1:15" ht="13.5" thickBot="1">
      <c r="A4" s="378"/>
      <c r="B4" s="394" t="str">
        <f>Criterios!A11 &amp;"  "&amp;Criterios!B11</f>
        <v>Resumenes por Partidos Judiciales  BARCELONA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53</v>
      </c>
      <c r="D9" s="406">
        <f>Datos!BK9</f>
        <v>0</v>
      </c>
      <c r="E9" s="406">
        <f>Datos!AQ9</f>
        <v>53</v>
      </c>
      <c r="F9" s="407">
        <f>IF(ISNUMBER(E9/Datos!BH9),E9/Datos!BH9," - ")</f>
        <v>1.0192307692307692</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5</v>
      </c>
      <c r="D10" s="406">
        <f>Datos!BK10</f>
        <v>0</v>
      </c>
      <c r="E10" s="406">
        <f>Datos!AQ10</f>
        <v>5</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8</v>
      </c>
      <c r="D11" s="406">
        <f>Datos!BK11</f>
        <v>0</v>
      </c>
      <c r="E11" s="406">
        <f>Datos!AQ11</f>
        <v>8</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33</v>
      </c>
      <c r="D15" s="406">
        <f>Datos!BK15</f>
        <v>0</v>
      </c>
      <c r="E15" s="406">
        <f>Datos!AQ15</f>
        <v>33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5</v>
      </c>
      <c r="D17" s="406">
        <f>Datos!BK17</f>
        <v>0</v>
      </c>
      <c r="E17" s="406">
        <f>Datos!AQ17</f>
        <v>5</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gFNlXaVLcw3dpIiOxdQ7w3GtMyxHgLR5xxU7AJIz5/D2foyjG7PKyO7XZzXXVT2E0z4xee6U1yhjxazo7/3eiQ==" saltValue="CD3fwWc/Gz7Xk2Mo6121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BARCELONA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53</v>
      </c>
      <c r="C9" s="413">
        <f>Datos!AQ9</f>
        <v>53</v>
      </c>
      <c r="D9" s="406">
        <f>IF(ISNUMBER(Datos!M9),Datos!M9," - ")</f>
        <v>24275</v>
      </c>
      <c r="E9" s="407">
        <f t="shared" ref="E9:E13" si="0">IF(ISNUMBER(D9/B9),D9/B9," - ")</f>
        <v>458.01886792452831</v>
      </c>
      <c r="F9" s="406">
        <f>IF(ISNUMBER(Datos!N9),Datos!N9," - ")</f>
        <v>41150</v>
      </c>
      <c r="G9" s="407">
        <f t="shared" ref="G9:G13" si="1">IF(ISNUMBER(F9/B9),F9/B9," - ")</f>
        <v>776.41509433962267</v>
      </c>
      <c r="H9" s="406">
        <f>IF(ISNUMBER(Datos!O9),Datos!O9," - ")</f>
        <v>38591</v>
      </c>
      <c r="I9" s="407">
        <f>IF(ISNUMBER(H9/B9),H9/B9," - ")</f>
        <v>728.13207547169816</v>
      </c>
    </row>
    <row r="10" spans="1:9">
      <c r="A10" s="405" t="str">
        <f>Datos!A10</f>
        <v>Jdos. Violencia contra la mujer</v>
      </c>
      <c r="B10" s="430">
        <f>Datos!AO10</f>
        <v>5</v>
      </c>
      <c r="C10" s="413">
        <f>Datos!AQ10</f>
        <v>5</v>
      </c>
      <c r="D10" s="406">
        <f>IF(ISNUMBER(Datos!M10),Datos!M10," - ")</f>
        <v>319</v>
      </c>
      <c r="E10" s="407">
        <f>IF(ISNUMBER(D10/B10),D10/B10," - ")</f>
        <v>63.8</v>
      </c>
      <c r="F10" s="406">
        <f>IF(ISNUMBER(Datos!N10),Datos!N10," - ")</f>
        <v>336</v>
      </c>
      <c r="G10" s="407">
        <f>IF(ISNUMBER(F10/B10),F10/B10," - ")</f>
        <v>67.2</v>
      </c>
      <c r="H10" s="406">
        <f>IF(ISNUMBER(Datos!O10),Datos!O10," - ")</f>
        <v>190</v>
      </c>
      <c r="I10" s="407">
        <f t="shared" ref="I10:I12" si="2">IF(ISNUMBER(H10/B10),H10/B10," - ")</f>
        <v>38</v>
      </c>
    </row>
    <row r="11" spans="1:9">
      <c r="A11" s="405" t="str">
        <f>Datos!A11</f>
        <v xml:space="preserve">Jdos. Familia                                   </v>
      </c>
      <c r="B11" s="430">
        <f>Datos!AO11</f>
        <v>8</v>
      </c>
      <c r="C11" s="413">
        <f>Datos!AQ11</f>
        <v>8</v>
      </c>
      <c r="D11" s="406">
        <f>IF(ISNUMBER(Datos!M11),Datos!M11," - ")</f>
        <v>3265</v>
      </c>
      <c r="E11" s="407">
        <f t="shared" si="0"/>
        <v>408.125</v>
      </c>
      <c r="F11" s="406">
        <f>IF(ISNUMBER(Datos!N11),Datos!N11," - ")</f>
        <v>1966</v>
      </c>
      <c r="G11" s="407">
        <f t="shared" si="1"/>
        <v>245.75</v>
      </c>
      <c r="H11" s="406">
        <f>IF(ISNUMBER(Datos!O11),Datos!O11," - ")</f>
        <v>2450</v>
      </c>
      <c r="I11" s="407">
        <f t="shared" si="2"/>
        <v>306.25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66</v>
      </c>
      <c r="C13" s="854">
        <f>Datos!AR13</f>
        <v>66</v>
      </c>
      <c r="D13" s="852">
        <f>SUBTOTAL(9,D9:D12)</f>
        <v>27859</v>
      </c>
      <c r="E13" s="853">
        <f t="shared" si="0"/>
        <v>422.10606060606062</v>
      </c>
      <c r="F13" s="852">
        <f>SUBTOTAL(9,F9:F12)</f>
        <v>43452</v>
      </c>
      <c r="G13" s="853">
        <f t="shared" si="1"/>
        <v>658.36363636363637</v>
      </c>
      <c r="H13" s="852">
        <f>SUBTOTAL(9,H9:H12)</f>
        <v>41231</v>
      </c>
      <c r="I13" s="853">
        <f>IF(ISNUMBER(H13/B13),H13/B13," - ")</f>
        <v>624.71212121212125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33</v>
      </c>
      <c r="C15" s="431">
        <f>Datos!AQ15</f>
        <v>33</v>
      </c>
      <c r="D15" s="406">
        <f>IF(ISNUMBER(Datos!M15),Datos!M15," - ")</f>
        <v>20674</v>
      </c>
      <c r="E15" s="407">
        <f t="shared" ref="E15:E18" si="3">IF(ISNUMBER(D15/B15),D15/B15," - ")</f>
        <v>626.4848484848485</v>
      </c>
      <c r="F15" s="406">
        <f>IF(ISNUMBER(Datos!N15),Datos!N15," - ")</f>
        <v>57107</v>
      </c>
      <c r="G15" s="407">
        <f t="shared" ref="G15:G18" si="4">IF(ISNUMBER(F15/B15),F15/B15," - ")</f>
        <v>1730.5151515151515</v>
      </c>
      <c r="H15" s="406">
        <f>IF(ISNUMBER(Datos!O15),Datos!O15," - ")</f>
        <v>5341</v>
      </c>
      <c r="I15" s="407">
        <f t="shared" ref="I15:I17" si="5">IF(ISNUMBER(H15/B15),H15/B15," - ")</f>
        <v>161.84848484848484</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5</v>
      </c>
      <c r="C17" s="431">
        <f>Datos!AQ17</f>
        <v>5</v>
      </c>
      <c r="D17" s="406">
        <f>IF(ISNUMBER(Datos!M17),Datos!M17," - ")</f>
        <v>130</v>
      </c>
      <c r="E17" s="407">
        <f>IF(ISNUMBER(D17/B17),D17/B17," - ")</f>
        <v>26</v>
      </c>
      <c r="F17" s="406">
        <f>IF(ISNUMBER(Datos!N17),Datos!N17," - ")</f>
        <v>4511</v>
      </c>
      <c r="G17" s="407">
        <f>IF(ISNUMBER(F17/B17),F17/B17," - ")</f>
        <v>902.2</v>
      </c>
      <c r="H17" s="406">
        <f>IF(ISNUMBER(Datos!O17),Datos!O17," - ")</f>
        <v>12</v>
      </c>
      <c r="I17" s="407">
        <f t="shared" si="5"/>
        <v>2.4</v>
      </c>
    </row>
    <row r="18" spans="1:9" ht="14.25" thickTop="1" thickBot="1">
      <c r="A18" s="851" t="str">
        <f>Datos!A18</f>
        <v>TOTAL</v>
      </c>
      <c r="B18" s="852">
        <f>Datos!AO18</f>
        <v>38</v>
      </c>
      <c r="C18" s="854">
        <f>Datos!AR18</f>
        <v>38</v>
      </c>
      <c r="D18" s="852">
        <f>SUBTOTAL(9,D15:D17)</f>
        <v>20804</v>
      </c>
      <c r="E18" s="853">
        <f t="shared" si="3"/>
        <v>547.47368421052636</v>
      </c>
      <c r="F18" s="852">
        <f>SUBTOTAL(9,F15:F17)</f>
        <v>61618</v>
      </c>
      <c r="G18" s="853">
        <f t="shared" si="4"/>
        <v>1621.5263157894738</v>
      </c>
      <c r="H18" s="852">
        <f>SUBTOTAL(9,H15:H17)</f>
        <v>5353</v>
      </c>
      <c r="I18" s="853">
        <f>IF(ISNUMBER(H18/B18),H18/B18," - ")</f>
        <v>140.86842105263159</v>
      </c>
    </row>
    <row r="19" spans="1:9" ht="14.25" thickTop="1" thickBot="1">
      <c r="A19" s="796" t="str">
        <f>Datos!A19</f>
        <v>TOTAL JURISDICCIONES</v>
      </c>
      <c r="B19" s="797">
        <f>Datos!AP19</f>
        <v>99</v>
      </c>
      <c r="C19" s="797">
        <f>Datos!AR19</f>
        <v>99</v>
      </c>
      <c r="D19" s="797">
        <f>SUBTOTAL(9,D8:D18)</f>
        <v>48663</v>
      </c>
      <c r="E19" s="798">
        <f>IF(ISNUMBER(D19/B19),D19/B19," - ")</f>
        <v>491.54545454545456</v>
      </c>
      <c r="F19" s="797">
        <f>SUBTOTAL(9,F8:F18)</f>
        <v>105070</v>
      </c>
      <c r="G19" s="798">
        <f>IF(ISNUMBER(F19/B19),F19/B19," - ")</f>
        <v>1061.3131313131314</v>
      </c>
      <c r="H19" s="797">
        <f>SUBTOTAL(9,H8:H18)</f>
        <v>46584</v>
      </c>
      <c r="I19" s="798">
        <f>IF(ISNUMBER(H19/B19),H19/B19," - ")</f>
        <v>470.54545454545456</v>
      </c>
    </row>
    <row r="22" spans="1:9">
      <c r="A22" s="394" t="str">
        <f>Criterios!A4</f>
        <v>Fecha Informe: 03 may. 2024</v>
      </c>
    </row>
    <row r="27" spans="1:9">
      <c r="A27" s="417"/>
    </row>
  </sheetData>
  <sheetProtection algorithmName="SHA-512" hashValue="GL0q+dUbDDhkPtFG9P1kTyw3s0cePfw9rpWqkcpJda/eNAtv+7K8r/N2pXah96iiyb3iJhZWtAjE0toRXmEARg==" saltValue="BORxNm8Ty/FnaZBG8oLC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BARCELONA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19468</v>
      </c>
      <c r="C9" s="437">
        <f>IF(ISNUMBER(Datos!Q9),Datos!Q9," - ")</f>
        <v>23434</v>
      </c>
      <c r="D9" s="411">
        <f>IF(ISNUMBER(Datos!R9),Datos!R9," - ")</f>
        <v>66976</v>
      </c>
    </row>
    <row r="10" spans="1:4">
      <c r="A10" s="405" t="str">
        <f>Datos!A10</f>
        <v>Jdos. Violencia contra la mujer</v>
      </c>
      <c r="B10" s="436">
        <f>IF(ISNUMBER(Datos!P10),Datos!P10," - ")</f>
        <v>203</v>
      </c>
      <c r="C10" s="437">
        <f>IF(ISNUMBER(Datos!Q10),Datos!Q10," - ")</f>
        <v>164</v>
      </c>
      <c r="D10" s="411">
        <f>IF(ISNUMBER(Datos!R10),Datos!R10," - ")</f>
        <v>589</v>
      </c>
    </row>
    <row r="11" spans="1:4">
      <c r="A11" s="405" t="str">
        <f>Datos!A11</f>
        <v xml:space="preserve">Jdos. Familia                                   </v>
      </c>
      <c r="B11" s="436">
        <f>IF(ISNUMBER(Datos!P11),Datos!P11," - ")</f>
        <v>959</v>
      </c>
      <c r="C11" s="437">
        <f>IF(ISNUMBER(Datos!Q11),Datos!Q11," - ")</f>
        <v>1220</v>
      </c>
      <c r="D11" s="411">
        <f>IF(ISNUMBER(Datos!R11),Datos!R11," - ")</f>
        <v>3429</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20630</v>
      </c>
      <c r="C13" s="856">
        <f>SUBTOTAL(9,C9:C12)</f>
        <v>24818</v>
      </c>
      <c r="D13" s="854">
        <f>SUBTOTAL(9,D9:D12)</f>
        <v>70994</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9699</v>
      </c>
      <c r="C15" s="437">
        <f>IF(ISNUMBER(Datos!Q15),Datos!Q15," - ")</f>
        <v>9723</v>
      </c>
      <c r="D15" s="411">
        <f>IF(ISNUMBER(Datos!R15),Datos!R15," - ")</f>
        <v>3934</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25</v>
      </c>
      <c r="C17" s="437">
        <f>IF(ISNUMBER(Datos!Q17),Datos!Q17," - ")</f>
        <v>24</v>
      </c>
      <c r="D17" s="411">
        <f>IF(ISNUMBER(Datos!R17),Datos!R17," - ")</f>
        <v>19</v>
      </c>
    </row>
    <row r="18" spans="1:4" ht="14.25" thickTop="1" thickBot="1">
      <c r="A18" s="851" t="str">
        <f>Datos!A18</f>
        <v>TOTAL</v>
      </c>
      <c r="B18" s="852">
        <f>SUBTOTAL(9,B15:B17)</f>
        <v>9724</v>
      </c>
      <c r="C18" s="856">
        <f>SUBTOTAL(9,C15:C17)</f>
        <v>9747</v>
      </c>
      <c r="D18" s="854">
        <f>SUBTOTAL(9,D15:D17)</f>
        <v>3953</v>
      </c>
    </row>
    <row r="19" spans="1:4" ht="16.5" customHeight="1" thickTop="1" thickBot="1">
      <c r="A19" s="796" t="str">
        <f>Datos!A19</f>
        <v>TOTAL JURISDICCIONES</v>
      </c>
      <c r="B19" s="801">
        <f>SUBTOTAL(9,B8:B18)</f>
        <v>30354</v>
      </c>
      <c r="C19" s="802">
        <f>SUBTOTAL(9,C8:C18)</f>
        <v>34565</v>
      </c>
      <c r="D19" s="803">
        <f>SUBTOTAL(9,D8:D18)</f>
        <v>74947</v>
      </c>
    </row>
    <row r="20" spans="1:4" ht="7.5" customHeight="1"/>
    <row r="21" spans="1:4" ht="6" customHeight="1"/>
    <row r="22" spans="1:4">
      <c r="A22" s="394" t="str">
        <f>Criterios!A4</f>
        <v>Fecha Informe: 03 may. 2024</v>
      </c>
    </row>
    <row r="27" spans="1:4">
      <c r="A27" s="417"/>
    </row>
  </sheetData>
  <sheetProtection algorithmName="SHA-512" hashValue="yBsnnFUeHM5cYBv9Bqmrolf/n8m5xf5uSOrbzc/Pi1KrDSGEA2TQMrsvRDzxluqQ6GZ8WuY7nRDZB1S5Eyf7MA==" saltValue="D8su2CVnAb3OJ9gB7zqm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BARCELONA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-0.18494565130388846</v>
      </c>
      <c r="C9" s="459">
        <f>IF(ISNUMBER(
   IF(J_V="SI",(Datos!J9-Datos!T9)/Datos!T9,(Datos!J9+Datos!Z9-(Datos!T9+Datos!AH9))/(Datos!T9+Datos!AH9))
     ),IF(J_V="SI",(Datos!J9-Datos!T9)/Datos!T9,(Datos!J9+Datos!Z9-(Datos!T9+Datos!AH9))/(Datos!T9+Datos!AH9))," - ")</f>
        <v>9.068771890810029E-2</v>
      </c>
      <c r="D9" s="459">
        <f>IF(ISNUMBER(
   IF(J_V="SI",(Datos!K9-Datos!U9)/Datos!U9,(Datos!K9+Datos!AA9-(Datos!U9+Datos!AI9))/(Datos!U9+Datos!AI9))
     ),IF(J_V="SI",(Datos!K9-Datos!U9)/Datos!U9,(Datos!K9+Datos!AA9-(Datos!U9+Datos!AI9))/(Datos!U9+Datos!AI9))," - ")</f>
        <v>1.1524175370646688E-2</v>
      </c>
      <c r="E9" s="459">
        <f>IF(ISNUMBER(
   IF(J_V="SI",(Datos!L9-Datos!V9)/Datos!V9,(Datos!L9+Datos!AB9-(Datos!V9+Datos!AJ9))/(Datos!V9+Datos!AJ9))
     ),IF(J_V="SI",(Datos!L9-Datos!V9)/Datos!V9,(Datos!L9+Datos!AB9-(Datos!V9+Datos!AJ9))/(Datos!V9+Datos!AJ9))," - ")</f>
        <v>4.5252779196291788E-2</v>
      </c>
      <c r="F9" s="459">
        <f>IF(ISNUMBER((Datos!M9-Datos!W9)/Datos!W9),(Datos!M9-Datos!W9)/Datos!W9," - ")</f>
        <v>-0.10102581194682073</v>
      </c>
      <c r="G9" s="460">
        <f>IF(ISNUMBER((Datos!N9-Datos!X9)/Datos!X9),(Datos!N9-Datos!X9)/Datos!X9," - ")</f>
        <v>5.7623110928343782E-2</v>
      </c>
      <c r="H9" s="458">
        <f>IF(ISNUMBER(((NºAsuntos!G9/NºAsuntos!E9)-Datos!BD9)/Datos!BD9),((NºAsuntos!G9/NºAsuntos!E9)-Datos!BD9)/Datos!BD9," - ")</f>
        <v>-7.258131009002762E-2</v>
      </c>
      <c r="I9" s="459">
        <f>IF(ISNUMBER(((NºAsuntos!I9/NºAsuntos!G9)-Datos!BE9)/Datos!BE9),((NºAsuntos!I9/NºAsuntos!G9)-Datos!BE9)/Datos!BE9," - ")</f>
        <v>3.3344337828886975E-2</v>
      </c>
      <c r="J9" s="464">
        <f>IF(ISNUMBER((('Resol  Asuntos'!D9/NºAsuntos!G9)-Datos!BF9)/Datos!BF9),(('Resol  Asuntos'!D9/NºAsuntos!G9)-Datos!BF9)/Datos!BF9," - ")</f>
        <v>-0.38320042679557803</v>
      </c>
      <c r="K9" s="465">
        <f>IF(ISNUMBER((((NºAsuntos!C9+NºAsuntos!E9)/NºAsuntos!G9)-Datos!BG9)/Datos!BG9),(((NºAsuntos!C9+NºAsuntos!E9)/NºAsuntos!G9)-Datos!BG9)/Datos!BG9," - ")</f>
        <v>-3.3428671231495732E-2</v>
      </c>
    </row>
    <row r="10" spans="1:11">
      <c r="A10" s="405" t="str">
        <f>Datos!A10</f>
        <v>Jdos. Violencia contra la mujer</v>
      </c>
      <c r="B10" s="458">
        <f>IF(ISNUMBER((Datos!I10-Datos!S10)/Datos!S10),(Datos!I10-Datos!S10)/Datos!S10," - ")</f>
        <v>6.7796610169491525E-2</v>
      </c>
      <c r="C10" s="459">
        <f>IF(ISNUMBER((Datos!J10-Datos!T10)/Datos!T10),(Datos!J10-Datos!T10)/Datos!T10," - ")</f>
        <v>8.8669950738916259E-2</v>
      </c>
      <c r="D10" s="459">
        <f>IF(ISNUMBER((Datos!K10-Datos!U10)/Datos!U10),(Datos!K10-Datos!U10)/Datos!U10," - ")</f>
        <v>6.1088977423638779E-2</v>
      </c>
      <c r="E10" s="459">
        <f>IF(ISNUMBER((Datos!L10-Datos!V10)/Datos!V10),(Datos!L10-Datos!V10)/Datos!V10," - ")</f>
        <v>0.1927437641723356</v>
      </c>
      <c r="F10" s="459">
        <f>IF(ISNUMBER((Datos!M10-Datos!W10)/Datos!W10),(Datos!M10-Datos!W10)/Datos!W10," - ")</f>
        <v>0.30204081632653063</v>
      </c>
      <c r="G10" s="460">
        <f>IF(ISNUMBER((Datos!N10-Datos!X10)/Datos!X10),(Datos!N10-Datos!X10)/Datos!X10," - ")</f>
        <v>-6.6666666666666666E-2</v>
      </c>
      <c r="H10" s="458">
        <f>IF(ISNUMBER(((NºAsuntos!G10/NºAsuntos!E10)-Datos!BD10)/Datos!BD10),((NºAsuntos!G10/NºAsuntos!E10)-Datos!BD10)/Datos!BD10," - ")</f>
        <v>-2.5334559199101027E-2</v>
      </c>
      <c r="I10" s="459">
        <f>IF(ISNUMBER(((NºAsuntos!I10/NºAsuntos!G10)-Datos!BE10)/Datos!BE10),((NºAsuntos!I10/NºAsuntos!G10)-Datos!BE10)/Datos!BE10," - ")</f>
        <v>0.12407516197968545</v>
      </c>
      <c r="J10" s="464">
        <f>IF(ISNUMBER((('Resol  Asuntos'!D10/NºAsuntos!G10)-Datos!BF10)/Datos!BF10),(('Resol  Asuntos'!D10/NºAsuntos!G10)-Datos!BF10)/Datos!BF10," - ")</f>
        <v>0.22707976807744379</v>
      </c>
      <c r="K10" s="465">
        <f>IF(ISNUMBER((((NºAsuntos!C10+NºAsuntos!E10)/NºAsuntos!G10)-Datos!BG10)/Datos!BG10),(((NºAsuntos!C10+NºAsuntos!E10)/NºAsuntos!G10)-Datos!BG10)/Datos!BG10," - ")</f>
        <v>1.9360935863707057E-2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-0.13911416094822207</v>
      </c>
      <c r="C11" s="459">
        <f>IF(ISNUMBER(
   IF(J_V="SI",(Datos!J11-Datos!T11)/Datos!T11,(Datos!J11+Datos!Z11-(Datos!T11+Datos!AH11))/(Datos!T11+Datos!AH11))
     ),IF(J_V="SI",(Datos!J11-Datos!T11)/Datos!T11,(Datos!J11+Datos!Z11-(Datos!T11+Datos!AH11))/(Datos!T11+Datos!AH11))," - ")</f>
        <v>-1.1752136752136752E-2</v>
      </c>
      <c r="D11" s="459">
        <f>IF(ISNUMBER(
   IF(J_V="SI",(Datos!K11-Datos!U11)/Datos!U11,(Datos!K11+Datos!AA11-(Datos!U11+Datos!AI11))/(Datos!U11+Datos!AI11))
     ),IF(J_V="SI",(Datos!K11-Datos!U11)/Datos!U11,(Datos!K11+Datos!AA11-(Datos!U11+Datos!AI11))/(Datos!U11+Datos!AI11))," - ")</f>
        <v>-7.431502564744151E-2</v>
      </c>
      <c r="E11" s="459">
        <f>IF(ISNUMBER(
   IF(J_V="SI",(Datos!L11-Datos!V11)/Datos!V11,(Datos!L11+Datos!AB11-(Datos!V11+Datos!AJ11))/(Datos!V11+Datos!AJ11))
     ),IF(J_V="SI",(Datos!L11-Datos!V11)/Datos!V11,(Datos!L11+Datos!AB11-(Datos!V11+Datos!AJ11))/(Datos!V11+Datos!AJ11))," - ")</f>
        <v>7.6086956521739135E-2</v>
      </c>
      <c r="F11" s="459">
        <f>IF(ISNUMBER((Datos!M11-Datos!W11)/Datos!W11),(Datos!M11-Datos!W11)/Datos!W11," - ")</f>
        <v>-5.5539485102690196E-2</v>
      </c>
      <c r="G11" s="460">
        <f>IF(ISNUMBER((Datos!N11-Datos!X11)/Datos!X11),(Datos!N11-Datos!X11)/Datos!X11," - ")</f>
        <v>-5.4353054353054354E-2</v>
      </c>
      <c r="H11" s="458">
        <f>IF(ISNUMBER(((NºAsuntos!G11/NºAsuntos!E11)-Datos!BD11)/Datos!BD11),((NºAsuntos!G11/NºAsuntos!E11)-Datos!BD11)/Datos!BD11," - ")</f>
        <v>-6.3306880006492247E-2</v>
      </c>
      <c r="I11" s="459">
        <f>IF(ISNUMBER(((NºAsuntos!I11/NºAsuntos!G11)-Datos!BE11)/Datos!BE11),((NºAsuntos!I11/NºAsuntos!G11)-Datos!BE11)/Datos!BE11," - ")</f>
        <v>0.16247642160809031</v>
      </c>
      <c r="J11" s="464">
        <f>IF(ISNUMBER((('Resol  Asuntos'!D11/NºAsuntos!G11)-Datos!BF11)/Datos!BF11),(('Resol  Asuntos'!D11/NºAsuntos!G11)-Datos!BF11)/Datos!BF11," - ")</f>
        <v>0.69654538420587897</v>
      </c>
      <c r="K11" s="465">
        <f>IF(ISNUMBER((((NºAsuntos!C11+NºAsuntos!E11)/NºAsuntos!G11)-Datos!BG11)/Datos!BG11),(((NºAsuntos!C11+NºAsuntos!E11)/NºAsuntos!G11)-Datos!BG11)/Datos!BG11," - ")</f>
        <v>2.633777536494003E-2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-0.18114275338195684</v>
      </c>
      <c r="C13" s="858">
        <f>IF(ISNUMBER(
   IF(J_V="SI",(Datos!J13-Datos!T13)/Datos!T13,(Datos!J13+Datos!Z13-(Datos!T13+Datos!AH13))/(Datos!T13+Datos!AH13))
     ),IF(J_V="SI",(Datos!J13-Datos!T13)/Datos!T13,(Datos!J13+Datos!Z13-(Datos!T13+Datos!AH13))/(Datos!T13+Datos!AH13))," - ")</f>
        <v>8.2862523540489647E-2</v>
      </c>
      <c r="D13" s="858">
        <f>IF(ISNUMBER(
   IF(J_V="SI",(Datos!K13-Datos!U13)/Datos!U13,(Datos!K13+Datos!AA13-(Datos!U13+Datos!AI13))/(Datos!U13+Datos!AI13))
     ),IF(J_V="SI",(Datos!K13-Datos!U13)/Datos!U13,(Datos!K13+Datos!AA13-(Datos!U13+Datos!AI13))/(Datos!U13+Datos!AI13))," - ")</f>
        <v>5.2400647017231189E-3</v>
      </c>
      <c r="E13" s="858">
        <f>IF(ISNUMBER(
   IF(J_V="SI",(Datos!L13-Datos!V13)/Datos!V13,(Datos!L13+Datos!AB13-(Datos!V13+Datos!AJ13))/(Datos!V13+Datos!AJ13))
     ),IF(J_V="SI",(Datos!L13-Datos!V13)/Datos!V13,(Datos!L13+Datos!AB13-(Datos!V13+Datos!AJ13))/(Datos!V13+Datos!AJ13))," - ")</f>
        <v>4.8027349163817797E-2</v>
      </c>
      <c r="F13" s="859">
        <f>IF(ISNUMBER((Datos!M13-Datos!W13)/Datos!W13),(Datos!M13-Datos!W13)/Datos!W13," - ")</f>
        <v>-9.2688487217065629E-2</v>
      </c>
      <c r="G13" s="860">
        <f>IF(ISNUMBER((Datos!N13-Datos!X13)/Datos!X13),(Datos!N13-Datos!X13)/Datos!X13," - ")</f>
        <v>5.091058601591409E-2</v>
      </c>
      <c r="H13" s="860">
        <f>IF(ISNUMBER(((NºAsuntos!G13/NºAsuntos!E13)-Datos!BD13)/Datos!BD13),((NºAsuntos!G13/NºAsuntos!E13)-Datos!BD13)/Datos!BD13," - ")</f>
        <v>-7.168265329284354E-2</v>
      </c>
      <c r="I13" s="860">
        <f>IF(ISNUMBER(((NºAsuntos!I13/NºAsuntos!G13)-Datos!BE13)/Datos!BE13),((NºAsuntos!I13/NºAsuntos!G13)-Datos!BE13)/Datos!BE13," - ")</f>
        <v>4.2564245063979343E-2</v>
      </c>
      <c r="J13" s="860">
        <f>IF(ISNUMBER((('Resol  Asuntos'!D13/NºAsuntos!G13)-Datos!BF13)/Datos!BF13),(('Resol  Asuntos'!D13/NºAsuntos!G13)-Datos!BF13)/Datos!BF13," - ")</f>
        <v>-0.32785753758978708</v>
      </c>
      <c r="K13" s="860">
        <f>IF(ISNUMBER((((NºAsuntos!C13+NºAsuntos!E13)/NºAsuntos!G13)-Datos!BG13)/Datos!BG13),(((NºAsuntos!C13+NºAsuntos!E13)/NºAsuntos!G13)-Datos!BG13)/Datos!BG13," - ")</f>
        <v>-2.8405341839243311E-2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0.24907063197026022</v>
      </c>
      <c r="C15" s="459">
        <f>IF(ISNUMBER(
   IF(D_I="SI",(Datos!J15-Datos!T15)/Datos!T15,(Datos!J15+Datos!AD15-(Datos!T15+Datos!AL15))/(Datos!T15+Datos!AL15))
     ),IF(D_I="SI",(Datos!J15-Datos!T15)/Datos!T15,(Datos!J15+Datos!AD15-(Datos!T15+Datos!AL15))/(Datos!T15+Datos!AL15))," - ")</f>
        <v>0.14112812774027775</v>
      </c>
      <c r="D15" s="459">
        <f>IF(ISNUMBER(
   IF(D_I="SI",(Datos!K15-Datos!U15)/Datos!U15,(Datos!K15+Datos!AE15-(Datos!U15+Datos!AM15))/(Datos!U15+Datos!AM15))
     ),IF(D_I="SI",(Datos!K15-Datos!U15)/Datos!U15,(Datos!K15+Datos!AE15-(Datos!U15+Datos!AM15))/(Datos!U15+Datos!AM15))," - ")</f>
        <v>0.13288688489230802</v>
      </c>
      <c r="E15" s="459">
        <f>IF(ISNUMBER(
   IF(D_I="SI",(Datos!L15-Datos!V15)/Datos!V15,(Datos!L15+Datos!AF15-(Datos!V15+Datos!AN15))/(Datos!V15+Datos!AN15))
     ),IF(D_I="SI",(Datos!L15-Datos!V15)/Datos!V15,(Datos!L15+Datos!AF15-(Datos!V15+Datos!AN15))/(Datos!V15+Datos!AN15))," - ")</f>
        <v>0.26278409090909088</v>
      </c>
      <c r="F15" s="459">
        <f>IF(ISNUMBER((Datos!M15-Datos!W15)/Datos!W15),(Datos!M15-Datos!W15)/Datos!W15," - ")</f>
        <v>0.1547785287382003</v>
      </c>
      <c r="G15" s="460">
        <f>IF(ISNUMBER((Datos!N15-Datos!X15)/Datos!X15),(Datos!N15-Datos!X15)/Datos!X15," - ")</f>
        <v>0.10370885757909588</v>
      </c>
      <c r="H15" s="458">
        <f>IF(ISNUMBER(((NºAsuntos!G15/NºAsuntos!E15)-Datos!BD15)/Datos!BD15),((NºAsuntos!G15/NºAsuntos!E15)-Datos!BD15)/Datos!BD15," - ")</f>
        <v>-7.2220135913129285E-3</v>
      </c>
      <c r="I15" s="459">
        <f>IF(ISNUMBER(((NºAsuntos!I15/NºAsuntos!G15)-Datos!BE15)/Datos!BE15),((NºAsuntos!I15/NºAsuntos!G15)-Datos!BE15)/Datos!BE15," - ")</f>
        <v>0.11466034936853466</v>
      </c>
      <c r="J15" s="464">
        <f>IF(ISNUMBER((('Resol  Asuntos'!D15/NºAsuntos!G15)-Datos!BF15)/Datos!BF15),(('Resol  Asuntos'!D15/NºAsuntos!G15)-Datos!BF15)/Datos!BF15," - ")</f>
        <v>1.9323768451934616E-2</v>
      </c>
      <c r="K15" s="465">
        <f>IF(ISNUMBER((((NºAsuntos!C15+NºAsuntos!E15)/NºAsuntos!G15)-Datos!BG15)/Datos!BG15),(((NºAsuntos!C15+NºAsuntos!E15)/NºAsuntos!G15)-Datos!BG15)/Datos!BG15," - ")</f>
        <v>1.753517250047169E-2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5.657604702424688E-2</v>
      </c>
      <c r="C17" s="459">
        <f>IF(ISNUMBER(
   IF(D_I="SI",(Datos!J17-Datos!T17)/Datos!T17,(Datos!J17+Datos!AD17-(Datos!T17+Datos!AL17))/(Datos!T17+Datos!AL17))
     ),IF(D_I="SI",(Datos!J17-Datos!T17)/Datos!T17,(Datos!J17+Datos!AD17-(Datos!T17+Datos!AL17))/(Datos!T17+Datos!AL17))," - ")</f>
        <v>0.16440858578170192</v>
      </c>
      <c r="D17" s="459">
        <f>IF(ISNUMBER(
   IF(D_I="SI",(Datos!K17-Datos!U17)/Datos!U17,(Datos!K17+Datos!AE17-(Datos!U17+Datos!AM17))/(Datos!U17+Datos!AM17))
     ),IF(D_I="SI",(Datos!K17-Datos!U17)/Datos!U17,(Datos!K17+Datos!AE17-(Datos!U17+Datos!AM17))/(Datos!U17+Datos!AM17))," - ")</f>
        <v>0.12036047044447838</v>
      </c>
      <c r="E17" s="459">
        <f>IF(ISNUMBER(
   IF(D_I="SI",(Datos!L17-Datos!V17)/Datos!V17,(Datos!L17+Datos!AF17-(Datos!V17+Datos!AN17))/(Datos!V17+Datos!AN17))
     ),IF(D_I="SI",(Datos!L17-Datos!V17)/Datos!V17,(Datos!L17+Datos!AF17-(Datos!V17+Datos!AN17))/(Datos!V17+Datos!AN17))," - ")</f>
        <v>0.25382475660639775</v>
      </c>
      <c r="F17" s="459">
        <f>IF(ISNUMBER((Datos!M17-Datos!W17)/Datos!W17),(Datos!M17-Datos!W17)/Datos!W17," - ")</f>
        <v>0.27450980392156865</v>
      </c>
      <c r="G17" s="460">
        <f>IF(ISNUMBER((Datos!N17-Datos!X17)/Datos!X17),(Datos!N17-Datos!X17)/Datos!X17," - ")</f>
        <v>0.1428933367114264</v>
      </c>
      <c r="H17" s="458">
        <f>IF(ISNUMBER(((NºAsuntos!G17/NºAsuntos!E17)-Datos!BD17)/Datos!BD17),((NºAsuntos!G17/NºAsuntos!E17)-Datos!BD17)/Datos!BD17," - ")</f>
        <v>-3.7828744888249638E-2</v>
      </c>
      <c r="I17" s="459">
        <f>IF(ISNUMBER(((NºAsuntos!I17/NºAsuntos!G17)-Datos!BE17)/Datos!BE17),((NºAsuntos!I17/NºAsuntos!G17)-Datos!BE17)/Datos!BE17," - ")</f>
        <v>0.11912620061378133</v>
      </c>
      <c r="J17" s="464">
        <f>IF(ISNUMBER((('Resol  Asuntos'!D17/NºAsuntos!G17)-Datos!BF17)/Datos!BF17),(('Resol  Asuntos'!D17/NºAsuntos!G17)-Datos!BF17)/Datos!BF17," - ")</f>
        <v>0.13758905061683852</v>
      </c>
      <c r="K17" s="465">
        <f>IF(ISNUMBER((((NºAsuntos!C17+NºAsuntos!E17)/NºAsuntos!G17)-Datos!BG17)/Datos!BG17),(((NºAsuntos!C17+NºAsuntos!E17)/NºAsuntos!G17)-Datos!BG17)/Datos!BG17," - ")</f>
        <v>2.2797277816889575E-2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0.22921876183981207</v>
      </c>
      <c r="C18" s="858">
        <f>IF(ISNUMBER(
   IF(Criterios!B14="SI",(Datos!J18-Datos!T18)/Datos!T18,(Datos!J18+Datos!AD18-(Datos!T18+Datos!AL18))/(Datos!T18+Datos!AL18))
     ),IF(Criterios!B14="SI",(Datos!J18-Datos!T18)/Datos!T18,(Datos!J18+Datos!AD18-(Datos!T18+Datos!AL18))/(Datos!T18+Datos!AL18))," - ")</f>
        <v>0.14258956643062604</v>
      </c>
      <c r="D18" s="858">
        <f>IF(ISNUMBER(
   IF(Criterios!B14="SI",(Datos!K18-Datos!U18)/Datos!U18,(Datos!K18+Datos!AE18-(Datos!U18+Datos!AM18))/(Datos!U18+Datos!AM18))
     ),IF(Criterios!B14="SI",(Datos!K18-Datos!U18)/Datos!U18,(Datos!K18+Datos!AE18-(Datos!U18+Datos!AM18))/(Datos!U18+Datos!AM18))," - ")</f>
        <v>0.13209762482195789</v>
      </c>
      <c r="E18" s="858">
        <f>IF(ISNUMBER(
   IF(Criterios!B14="SI",(Datos!L18-Datos!V18)/Datos!V18,(Datos!L18+Datos!AF18-(Datos!V18+Datos!AN18))/(Datos!V18+Datos!AN18))
     ),IF(Criterios!B14="SI",(Datos!L18-Datos!V18)/Datos!V18,(Datos!L18+Datos!AF18-(Datos!V18+Datos!AN18))/(Datos!V18+Datos!AN18))," - ")</f>
        <v>0.26198989027246949</v>
      </c>
      <c r="F18" s="859">
        <f>IF(ISNUMBER((Datos!M18-Datos!W18)/Datos!W18),(Datos!M18-Datos!W18)/Datos!W18," - ")</f>
        <v>0.15545681755068036</v>
      </c>
      <c r="G18" s="860">
        <f>IF(ISNUMBER((Datos!N18-Datos!X18)/Datos!X18),(Datos!N18-Datos!X18)/Datos!X18," - ")</f>
        <v>0.10648613704927452</v>
      </c>
      <c r="H18" s="860">
        <f>IF(ISNUMBER(((NºAsuntos!G18/NºAsuntos!E18)-Datos!BD18)/Datos!BD18),((NºAsuntos!G18/NºAsuntos!E18)-Datos!BD18)/Datos!BD18," - ")</f>
        <v>-9.1825988236914936E-3</v>
      </c>
      <c r="I18" s="860">
        <f>IF(ISNUMBER(((NºAsuntos!I18/NºAsuntos!G18)-Datos!BE18)/Datos!BE18),((NºAsuntos!I18/NºAsuntos!G18)-Datos!BE18)/Datos!BE18," - ")</f>
        <v>0.11473592259407796</v>
      </c>
      <c r="J18" s="860">
        <f>IF(ISNUMBER((('Resol  Asuntos'!D18/NºAsuntos!G18)-Datos!BF18)/Datos!BF18),(('Resol  Asuntos'!D18/NºAsuntos!G18)-Datos!BF18)/Datos!BF18," - ")</f>
        <v>2.0633549807505456E-2</v>
      </c>
      <c r="K18" s="860">
        <f>IF(ISNUMBER((((NºAsuntos!C18+NºAsuntos!E18)/NºAsuntos!G18)-Datos!BG18)/Datos!BG18),(((NºAsuntos!C18+NºAsuntos!E18)/NºAsuntos!G18)-Datos!BG18)/Datos!BG18," - ")</f>
        <v>1.7837346442400127E-2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-0.11283629529659574</v>
      </c>
      <c r="C19" s="805">
        <f>IF(ISNUMBER(
   IF(J_V="SI",(Datos!J19-Datos!T19)/Datos!T19,(Datos!J19+Datos!Z19-(Datos!T19+Datos!AH19))/(Datos!T19+Datos!AH19))
     ),IF(J_V="SI",(Datos!J19-Datos!T19)/Datos!T19,(Datos!J19+Datos!Z19-(Datos!T19+Datos!AH19))/(Datos!T19+Datos!AH19))," - ")</f>
        <v>0.11366929879040606</v>
      </c>
      <c r="D19" s="805">
        <f>IF(ISNUMBER(
   IF(J_V="SI",(Datos!K19-Datos!U19)/Datos!U19,(Datos!K19+Datos!AA19-(Datos!U19+Datos!AI19))/(Datos!U19+Datos!AI19))
     ),IF(J_V="SI",(Datos!K19-Datos!U19)/Datos!U19,(Datos!K19+Datos!AA19-(Datos!U19+Datos!AI19))/(Datos!U19+Datos!AI19))," - ")</f>
        <v>6.8872465013444295E-2</v>
      </c>
      <c r="E19" s="805">
        <f>IF(ISNUMBER(
   IF(J_V="SI",(Datos!L19-Datos!V19)/Datos!V19,(Datos!L19+Datos!AB19-(Datos!V19+Datos!AJ19))/(Datos!V19+Datos!AJ19))
     ),IF(J_V="SI",(Datos!L19-Datos!V19)/Datos!V19,(Datos!L19+Datos!AB19-(Datos!V19+Datos!AJ19))/(Datos!V19+Datos!AJ19))," - ")</f>
        <v>9.7374070546085281E-2</v>
      </c>
      <c r="F19" s="806">
        <f>IF(ISNUMBER((Datos!M19-Datos!W19)/Datos!W19),(Datos!M19-Datos!W19)/Datos!W19," - ")</f>
        <v>-9.6489427222336277E-4</v>
      </c>
      <c r="G19" s="807">
        <f>IF(ISNUMBER((Datos!N19-Datos!X19)/Datos!X19),(Datos!N19-Datos!X19)/Datos!X19," - ")</f>
        <v>8.280517339104447E-2</v>
      </c>
      <c r="H19" s="808">
        <f>IF(ISNUMBER((Tasas!B19-Datos!BD19)/Datos!BD19),(Tasas!B19-Datos!BD19)/Datos!BD19," - ")</f>
        <v>-4.0224538671953192E-2</v>
      </c>
      <c r="I19" s="809">
        <f>IF(ISNUMBER((Tasas!C19-Datos!BE19)/Datos!BE19),(Tasas!C19-Datos!BE19)/Datos!BE19," - ")</f>
        <v>2.6665113440154351E-2</v>
      </c>
      <c r="J19" s="810">
        <f>IF(ISNUMBER((Tasas!D19-Datos!BF19)/Datos!BF19),(Tasas!D19-Datos!BF19)/Datos!BF19," - ")</f>
        <v>-0.23143618477673938</v>
      </c>
      <c r="K19" s="810">
        <f>IF(ISNUMBER((Tasas!E19-Datos!BG19)/Datos!BG19),(Tasas!E19-Datos!BG19)/Datos!BG19," - ")</f>
        <v>-1.7633379381423838E-2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TvMIVcAP2r7NOY1ZM/SmTnHB+jAZa+xHBJeU8qUAfu+nVGKjQtfX9u7hty4bzTOqOJSLt51zDeALPuMm18rCw==" saltValue="dbAzyIm3lgQ8c1OwoZL/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BARCELONA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0.97446248891335596</v>
      </c>
      <c r="C9" s="446">
        <f>IF(ISNUMBER(NºAsuntos!I9/NºAsuntos!G9),NºAsuntos!I9/NºAsuntos!G9," - ")</f>
        <v>0.55675517335174607</v>
      </c>
      <c r="D9" s="447">
        <f>IF(ISNUMBER('Resol  Asuntos'!D9/NºAsuntos!G9),'Resol  Asuntos'!D9/NºAsuntos!G9," - ")</f>
        <v>0.25395978490573934</v>
      </c>
      <c r="E9" s="448">
        <f>IF(ISNUMBER((NºAsuntos!C9+NºAsuntos!E9)/NºAsuntos!G9),(NºAsuntos!C9+NºAsuntos!E9)/NºAsuntos!G9," - ")</f>
        <v>1.5588579917561149</v>
      </c>
      <c r="G9" s="466"/>
    </row>
    <row r="10" spans="1:7">
      <c r="A10" s="405" t="str">
        <f>Datos!A10</f>
        <v>Jdos. Violencia contra la mujer</v>
      </c>
      <c r="B10" s="445">
        <f>IF(ISNUMBER(NºAsuntos!G10/NºAsuntos!E10),NºAsuntos!G10/NºAsuntos!E10," - ")</f>
        <v>0.90384615384615385</v>
      </c>
      <c r="C10" s="446">
        <f>IF(ISNUMBER(NºAsuntos!I10/NºAsuntos!G10),NºAsuntos!I10/NºAsuntos!G10," - ")</f>
        <v>0.65832290362953694</v>
      </c>
      <c r="D10" s="447">
        <f>IF(ISNUMBER('Resol  Asuntos'!D10/NºAsuntos!G10),'Resol  Asuntos'!D10/NºAsuntos!G10," - ")</f>
        <v>0.39924906132665833</v>
      </c>
      <c r="E10" s="448">
        <f>IF(ISNUMBER((NºAsuntos!C10+NºAsuntos!E10)/NºAsuntos!G10),(NºAsuntos!C10+NºAsuntos!E10)/NºAsuntos!G10," - ")</f>
        <v>1.6583229036295368</v>
      </c>
      <c r="G10" s="466"/>
    </row>
    <row r="11" spans="1:7">
      <c r="A11" s="405" t="str">
        <f>Datos!A11</f>
        <v xml:space="preserve">Jdos. Familia                                   </v>
      </c>
      <c r="B11" s="445">
        <f>IF(ISNUMBER(NºAsuntos!G11/NºAsuntos!E11),NºAsuntos!G11/NºAsuntos!E11," - ")</f>
        <v>0.99986486486486481</v>
      </c>
      <c r="C11" s="446">
        <f>IF(ISNUMBER(NºAsuntos!I11/NºAsuntos!G11),NºAsuntos!I11/NºAsuntos!G11," - ")</f>
        <v>0.40140559535072307</v>
      </c>
      <c r="D11" s="447">
        <f>IF(ISNUMBER('Resol  Asuntos'!D11/NºAsuntos!G11),'Resol  Asuntos'!D11/NºAsuntos!G11," - ")</f>
        <v>0.44127584808757941</v>
      </c>
      <c r="E11" s="448">
        <f>IF(ISNUMBER((NºAsuntos!C11+NºAsuntos!E11)/NºAsuntos!G11),(NºAsuntos!C11+NºAsuntos!E11)/NºAsuntos!G11," - ")</f>
        <v>1.3731585349371536</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0.97564277320799064</v>
      </c>
      <c r="C13" s="862">
        <f>IF(ISNUMBER(NºAsuntos!I13/NºAsuntos!G13),NºAsuntos!I13/NºAsuntos!G13," - ")</f>
        <v>0.5464618823710784</v>
      </c>
      <c r="D13" s="863">
        <f>IF(ISNUMBER('Resol  Asuntos'!D13/NºAsuntos!G13),'Resol  Asuntos'!D13/NºAsuntos!G13," - ")</f>
        <v>0.26843251368226317</v>
      </c>
      <c r="E13" s="864">
        <f>IF(ISNUMBER((NºAsuntos!C13+NºAsuntos!E13)/NºAsuntos!G13),(NºAsuntos!C13+NºAsuntos!E13)/NºAsuntos!G13," - ")</f>
        <v>1.546384799198335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0.98556046999955327</v>
      </c>
      <c r="C15" s="446">
        <f>IF(ISNUMBER(NºAsuntos!I15/NºAsuntos!G15),NºAsuntos!I15/NºAsuntos!G15," - ")</f>
        <v>0.16925810750777431</v>
      </c>
      <c r="D15" s="447">
        <f>IF(ISNUMBER('Resol  Asuntos'!D15/NºAsuntos!G15),'Resol  Asuntos'!D15/NºAsuntos!G15," - ")</f>
        <v>0.18743596950108343</v>
      </c>
      <c r="E15" s="448">
        <f>IF(ISNUMBER((NºAsuntos!C15+NºAsuntos!E15)/NºAsuntos!G15),(NºAsuntos!C15+NºAsuntos!E15)/NºAsuntos!G15," - ")</f>
        <v>1.1486867514664685</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0.95894888220682439</v>
      </c>
      <c r="C17" s="446">
        <f>IF(ISNUMBER(NºAsuntos!I17/NºAsuntos!G17),NºAsuntos!I17/NºAsuntos!G17," - ")</f>
        <v>0.2458077709611452</v>
      </c>
      <c r="D17" s="447">
        <f>IF(ISNUMBER('Resol  Asuntos'!D17/NºAsuntos!G17),'Resol  Asuntos'!D17/NºAsuntos!G17," - ")</f>
        <v>1.7723244717109749E-2</v>
      </c>
      <c r="E17" s="448">
        <f>IF(ISNUMBER((NºAsuntos!C17+NºAsuntos!E17)/NºAsuntos!G17),(NºAsuntos!C17+NºAsuntos!E17)/NºAsuntos!G17," - ")</f>
        <v>1.2388548057259714</v>
      </c>
      <c r="G17" s="466"/>
    </row>
    <row r="18" spans="1:7" ht="14.25" thickTop="1" thickBot="1">
      <c r="A18" s="851" t="str">
        <f>Datos!A18</f>
        <v>TOTAL</v>
      </c>
      <c r="B18" s="861">
        <f>IF(ISNUMBER(NºAsuntos!G18/NºAsuntos!E18),NºAsuntos!G18/NºAsuntos!E18," - ")</f>
        <v>0.98385801746345058</v>
      </c>
      <c r="C18" s="862">
        <f>IF(ISNUMBER(NºAsuntos!I18/NºAsuntos!G18),NºAsuntos!I18/NºAsuntos!G18," - ")</f>
        <v>0.17403131747623987</v>
      </c>
      <c r="D18" s="865">
        <f>IF(ISNUMBER('Resol  Asuntos'!D18/NºAsuntos!G18),'Resol  Asuntos'!D18/NºAsuntos!G18," - ")</f>
        <v>0.17685363075301358</v>
      </c>
      <c r="E18" s="864">
        <f>IF(ISNUMBER((NºAsuntos!C18+NºAsuntos!E18)/NºAsuntos!G18),(NºAsuntos!C18+NºAsuntos!E18)/NºAsuntos!G18," - ")</f>
        <v>1.1543091283132427</v>
      </c>
      <c r="G18" s="466"/>
    </row>
    <row r="19" spans="1:7" ht="15.75" customHeight="1" thickTop="1" thickBot="1">
      <c r="A19" s="796" t="str">
        <f>Datos!A19</f>
        <v>TOTAL JURISDICCIONES</v>
      </c>
      <c r="B19" s="811">
        <f>IF(ISNUMBER(NºAsuntos!G19/NºAsuntos!E19),NºAsuntos!G19/NºAsuntos!E19," - ")</f>
        <v>0.97999017433909152</v>
      </c>
      <c r="C19" s="812">
        <f>IF(ISNUMBER(NºAsuntos!I19/NºAsuntos!G19),NºAsuntos!I19/NºAsuntos!G19," - ")</f>
        <v>0.34859857825470375</v>
      </c>
      <c r="D19" s="813">
        <f>IF(ISNUMBER('Resol  Asuntos'!D19/NºAsuntos!G19),'Resol  Asuntos'!D19/NºAsuntos!G19," - ")</f>
        <v>0.21977887976587268</v>
      </c>
      <c r="E19" s="814">
        <f>IF(ISNUMBER((NºAsuntos!C19+NºAsuntos!E19)/NºAsuntos!G19),(NºAsuntos!C19+NºAsuntos!E19)/NºAsuntos!G19," - ")</f>
        <v>1.3380845279064937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KrOu9+xCFmfxM5xTwP0a9RYR0SKhluvdYczrL7ctY9RC5XIsA1RXEA9LH7DPx/dOjnBULYR58AulaudjdUmd/w==" saltValue="HJUaNWPU6X989rJAGNR6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BARCELONA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53</v>
      </c>
      <c r="B9" s="180" t="s">
        <v>246</v>
      </c>
      <c r="C9" s="163" t="str">
        <f>Datos!A9</f>
        <v xml:space="preserve">Jdos. 1ª Instancia   </v>
      </c>
      <c r="D9" s="163"/>
      <c r="E9" s="1028">
        <f>IF(ISNUMBER(Datos!AQ9),Datos!AQ9," - ")</f>
        <v>53</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19468</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23434</v>
      </c>
      <c r="Y9" s="337">
        <f>SUM(W9:X9)</f>
        <v>23434</v>
      </c>
      <c r="Z9" s="338" t="str">
        <f>IF(ISNUMBER(Datos!CC9),Datos!CC9," - ")</f>
        <v xml:space="preserve"> - </v>
      </c>
      <c r="AA9" s="335" t="str">
        <f>IF(ISNUMBER(IF(J_V="SI",Datos!L9,Datos!L9+Datos!AB9)-IF(Monitorios="SI",Datos!CD9,0)),
                          IF(J_V="SI",Datos!L9,Datos!L9+Datos!AB9)-IF(Monitorios="SI",Datos!CD9,0),
                          " - ")</f>
        <v xml:space="preserve"> - </v>
      </c>
      <c r="AB9" s="337">
        <f>IF(ISNUMBER(Datos!R9),Datos!R9," - ")</f>
        <v>66976</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24275</v>
      </c>
      <c r="AJ9" s="232" t="str">
        <f>IF(ISNUMBER(Datos!BW9),Datos!BW9," - ")</f>
        <v xml:space="preserve"> - </v>
      </c>
      <c r="AK9" s="231" t="str">
        <f>IF(ISNUMBER(Datos!BX9),Datos!BX9," - ")</f>
        <v xml:space="preserve"> - </v>
      </c>
      <c r="AL9" s="246">
        <f>IF(ISNUMBER(NºAsuntos!G9/NºAsuntos!E9),NºAsuntos!G9/NºAsuntos!E9," - ")</f>
        <v>0.97446248891335596</v>
      </c>
      <c r="AM9" s="263">
        <f>IF(ISNUMBER(((NºAsuntos!I9/NºAsuntos!G9)*11)/factor_trimestre),((NºAsuntos!I9/NºAsuntos!G9)*11)/factor_trimestre," - ")</f>
        <v>6.1243069068692071</v>
      </c>
      <c r="AN9" s="247">
        <f>IF(ISNUMBER('Resol  Asuntos'!D9/NºAsuntos!G9),'Resol  Asuntos'!D9/NºAsuntos!G9," - ")</f>
        <v>0.25395978490573934</v>
      </c>
      <c r="AO9" s="248">
        <f>IF(ISNUMBER((NºAsuntos!C9+NºAsuntos!E9)/NºAsuntos!G9),(NºAsuntos!C9+NºAsuntos!E9)/NºAsuntos!G9," - ")</f>
        <v>1.5588579917561149</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5</v>
      </c>
      <c r="B10" s="278" t="s">
        <v>246</v>
      </c>
      <c r="C10" s="7" t="str">
        <f>Datos!A10</f>
        <v>Jdos. Violencia contra la mujer</v>
      </c>
      <c r="D10" s="7"/>
      <c r="E10" s="1028">
        <f>IF(ISNUMBER(Datos!AQ10),Datos!AQ10," - ")</f>
        <v>5</v>
      </c>
      <c r="F10" s="228">
        <f>IF(ISNUMBER(Datos!L10+Datos!K10-Datos!J10-K10),Datos!L10+Datos!K10-Datos!J10-K10," - ")</f>
        <v>441</v>
      </c>
      <c r="G10" s="336">
        <f>IF(ISNUMBER(Datos!I10),Datos!I10," - ")</f>
        <v>441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203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799</v>
      </c>
      <c r="X10" s="229">
        <f>IF(ISNUMBER(Datos!Q10),Datos!Q10," - ")</f>
        <v>164</v>
      </c>
      <c r="Y10" s="337">
        <f t="shared" ref="Y10:Y12" si="0">SUM(W10:X10)</f>
        <v>963</v>
      </c>
      <c r="Z10" s="338" t="str">
        <f>IF(ISNUMBER(Datos!CC10),Datos!CC10," - ")</f>
        <v xml:space="preserve"> - </v>
      </c>
      <c r="AA10" s="335">
        <f>IF(ISNUMBER(Datos!L10),Datos!L10,"-")</f>
        <v>526</v>
      </c>
      <c r="AB10" s="337">
        <f>IF(ISNUMBER(Datos!R10),Datos!R10," - ")</f>
        <v>589</v>
      </c>
      <c r="AC10" s="337">
        <f t="shared" ref="AC10:AC12" si="1">IF(ISNUMBER(AA10+AB10),AA10+AB10," - ")</f>
        <v>1115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319</v>
      </c>
      <c r="AJ10" s="234" t="str">
        <f>IF(ISNUMBER(Datos!BW10),Datos!BW10," - ")</f>
        <v xml:space="preserve"> - </v>
      </c>
      <c r="AK10" s="235" t="str">
        <f>IF(ISNUMBER(Datos!BX10),Datos!BX10," - ")</f>
        <v xml:space="preserve"> - </v>
      </c>
      <c r="AL10" s="246">
        <f>IF(ISNUMBER(NºAsuntos!G10/NºAsuntos!E10),NºAsuntos!G10/NºAsuntos!E10," - ")</f>
        <v>0.90384615384615385</v>
      </c>
      <c r="AM10" s="263">
        <f>IF(ISNUMBER(((NºAsuntos!I10/NºAsuntos!G10)*11)/factor_trimestre),((NºAsuntos!I10/NºAsuntos!G10)*11)/factor_trimestre," - ")</f>
        <v>7.2415519399249062</v>
      </c>
      <c r="AN10" s="247">
        <f>IF(ISNUMBER('Resol  Asuntos'!D10/NºAsuntos!G10),'Resol  Asuntos'!D10/NºAsuntos!G10," - ")</f>
        <v>0.39924906132665833</v>
      </c>
      <c r="AO10" s="248">
        <f>IF(ISNUMBER((NºAsuntos!C10+NºAsuntos!E10)/NºAsuntos!G10),(NºAsuntos!C10+NºAsuntos!E10)/NºAsuntos!G10," - ")</f>
        <v>1.6583229036295368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8</v>
      </c>
      <c r="B11" s="278" t="s">
        <v>246</v>
      </c>
      <c r="C11" s="7" t="str">
        <f>Datos!A11</f>
        <v xml:space="preserve">Jdos. Familia                                   </v>
      </c>
      <c r="D11" s="7"/>
      <c r="E11" s="1028">
        <f>IF(ISNUMBER(Datos!AQ11),Datos!AQ11," - ")</f>
        <v>8</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959</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1220</v>
      </c>
      <c r="Y11" s="337">
        <f t="shared" si="0"/>
        <v>1220</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3429</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3265</v>
      </c>
      <c r="AJ11" s="234" t="str">
        <f>IF(ISNUMBER(Datos!BW11),Datos!BW11," - ")</f>
        <v xml:space="preserve"> - </v>
      </c>
      <c r="AK11" s="235" t="str">
        <f>IF(ISNUMBER(Datos!BX11),Datos!BX11," - ")</f>
        <v xml:space="preserve"> - </v>
      </c>
      <c r="AL11" s="246">
        <f>IF(ISNUMBER(NºAsuntos!G11/NºAsuntos!E11),NºAsuntos!G11/NºAsuntos!E11," - ")</f>
        <v>0.99986486486486481</v>
      </c>
      <c r="AM11" s="263">
        <f>IF(ISNUMBER(((NºAsuntos!I11/NºAsuntos!G11)*11)/factor_trimestre),((NºAsuntos!I11/NºAsuntos!G11)*11)/factor_trimestre," - ")</f>
        <v>4.4154615488579534</v>
      </c>
      <c r="AN11" s="247">
        <f>IF(ISNUMBER('Resol  Asuntos'!D11/NºAsuntos!G11),'Resol  Asuntos'!D11/NºAsuntos!G11," - ")</f>
        <v>0.44127584808757941</v>
      </c>
      <c r="AO11" s="248">
        <f>IF(ISNUMBER((NºAsuntos!C11+NºAsuntos!E11)/NºAsuntos!G11),(NºAsuntos!C11+NºAsuntos!E11)/NºAsuntos!G11," - ")</f>
        <v>1.3731585349371536</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66</v>
      </c>
      <c r="F13" s="868">
        <f t="shared" si="3"/>
        <v>441</v>
      </c>
      <c r="G13" s="869">
        <f t="shared" si="3"/>
        <v>441</v>
      </c>
      <c r="H13" s="868">
        <f t="shared" si="3"/>
        <v>0</v>
      </c>
      <c r="I13" s="870">
        <f t="shared" si="3"/>
        <v>0</v>
      </c>
      <c r="J13" s="870">
        <f t="shared" si="3"/>
        <v>0</v>
      </c>
      <c r="K13" s="870">
        <f t="shared" si="3"/>
        <v>0</v>
      </c>
      <c r="L13" s="870">
        <f t="shared" si="3"/>
        <v>20630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799</v>
      </c>
      <c r="X13" s="870">
        <f t="shared" si="4"/>
        <v>24818</v>
      </c>
      <c r="Y13" s="871">
        <f t="shared" si="4"/>
        <v>25617</v>
      </c>
      <c r="Z13" s="871">
        <f t="shared" si="4"/>
        <v>0</v>
      </c>
      <c r="AA13" s="871">
        <f t="shared" si="4"/>
        <v>526</v>
      </c>
      <c r="AB13" s="871">
        <f t="shared" si="4"/>
        <v>70994</v>
      </c>
      <c r="AC13" s="871">
        <f t="shared" si="4"/>
        <v>1115</v>
      </c>
      <c r="AD13" s="871">
        <f t="shared" si="4"/>
        <v>0</v>
      </c>
      <c r="AE13" s="875">
        <f t="shared" si="4"/>
        <v>0</v>
      </c>
      <c r="AF13" s="868">
        <f t="shared" si="4"/>
        <v>0</v>
      </c>
      <c r="AG13" s="876">
        <f t="shared" si="4"/>
        <v>0</v>
      </c>
      <c r="AH13" s="873">
        <f t="shared" si="4"/>
        <v>0</v>
      </c>
      <c r="AI13" s="868">
        <f t="shared" si="4"/>
        <v>27859</v>
      </c>
      <c r="AJ13" s="870">
        <f t="shared" si="4"/>
        <v>0</v>
      </c>
      <c r="AK13" s="873">
        <f>SUBTOTAL(9,AK9:AK12)</f>
        <v>0</v>
      </c>
      <c r="AL13" s="877">
        <f>IF(ISNUMBER(NºAsuntos!G13/NºAsuntos!E13),NºAsuntos!G13/NºAsuntos!E13," - ")</f>
        <v>0.97564277320799064</v>
      </c>
      <c r="AM13" s="877">
        <f>IF(ISNUMBER(((NºAsuntos!I13/NºAsuntos!G13)*11)/factor_trimestre),((NºAsuntos!I13/NºAsuntos!G13)*11)/factor_trimestre," - ")</f>
        <v>6.0110807060818621</v>
      </c>
      <c r="AN13" s="878">
        <f>IF(ISNUMBER('Resol  Asuntos'!D13/NºAsuntos!G13),'Resol  Asuntos'!D13/NºAsuntos!G13," - ")</f>
        <v>0.26843251368226317</v>
      </c>
      <c r="AO13" s="879">
        <f>IF(ISNUMBER((NºAsuntos!C13+NºAsuntos!E13)/NºAsuntos!G13),(NºAsuntos!C13+NºAsuntos!E13)/NºAsuntos!G13," - ")</f>
        <v>1.546384799198335</v>
      </c>
      <c r="AP13" s="880" t="str">
        <f t="shared" si="2"/>
        <v xml:space="preserve"> - </v>
      </c>
      <c r="AQ13" s="880">
        <f>IF(ISNUMBER((H13-W13+K13)/(F13)),(H13-W13+K13)/(F13)," - ")</f>
        <v>-1.8117913832199546</v>
      </c>
      <c r="AR13" s="881">
        <f>IF(ISNUMBER((Datos!P13-Datos!Q13)/(Datos!R13-Datos!P13+Datos!Q13)),(Datos!P13-Datos!Q13)/(Datos!R13-Datos!P13+Datos!Q13)," - ")</f>
        <v>-5.5704822962943261E-2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33</v>
      </c>
      <c r="B15" s="278" t="s">
        <v>396</v>
      </c>
      <c r="C15" s="163" t="str">
        <f>Datos!A15</f>
        <v xml:space="preserve">Jdos. Instrucción                               </v>
      </c>
      <c r="D15" s="163"/>
      <c r="E15" s="1028">
        <f>IF(ISNUMBER(Datos!AQ15),Datos!AQ15," - ")</f>
        <v>33</v>
      </c>
      <c r="F15" s="228">
        <f>IF(ISNUMBER(AA15+W15-Datos!J15-K15),AA15+W15-Datos!J15-K15," - ")</f>
        <v>17053</v>
      </c>
      <c r="G15" s="336">
        <f>IF(ISNUMBER(IF(D_I="SI",Datos!I15,Datos!I15+Datos!AC15)),IF(D_I="SI",Datos!I15,Datos!I15+Datos!AC15)," - ")</f>
        <v>14784</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9699</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110299</v>
      </c>
      <c r="X15" s="229">
        <f>IF(ISNUMBER(Datos!Q15),Datos!Q15," - ")</f>
        <v>9723</v>
      </c>
      <c r="Y15" s="337">
        <f>SUM(W15)</f>
        <v>110299</v>
      </c>
      <c r="Z15" s="338" t="str">
        <f>IF(ISNUMBER(Datos!CC15),Datos!CC15," - ")</f>
        <v xml:space="preserve"> - </v>
      </c>
      <c r="AA15" s="335">
        <f>IF(ISNUMBER(IF(D_I="SI",Datos!L15,Datos!L15+Datos!AF15)),IF(D_I="SI",Datos!L15,Datos!L15+Datos!AF15)," - ")</f>
        <v>18669</v>
      </c>
      <c r="AB15" s="337">
        <f>IF(ISNUMBER(Datos!R15),Datos!R15," - ")</f>
        <v>3934</v>
      </c>
      <c r="AC15" s="337">
        <f t="shared" ref="AC15:AC17" si="6">IF(ISNUMBER(AA15+AB15),AA15+AB15," - ")</f>
        <v>22603</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20674</v>
      </c>
      <c r="AJ15" s="234" t="str">
        <f>IF(ISNUMBER(Datos!BW15),Datos!BW15," - ")</f>
        <v xml:space="preserve"> - </v>
      </c>
      <c r="AK15" s="235" t="str">
        <f>IF(ISNUMBER(Datos!BX15),Datos!BX15," - ")</f>
        <v xml:space="preserve"> - </v>
      </c>
      <c r="AL15" s="246">
        <f>IF(ISNUMBER(NºAsuntos!G15/NºAsuntos!E15),NºAsuntos!G15/NºAsuntos!E15," - ")</f>
        <v>0.98556046999955327</v>
      </c>
      <c r="AM15" s="263">
        <f>IF(ISNUMBER(((NºAsuntos!I15/NºAsuntos!G15)*11)/factor_trimestre),((NºAsuntos!I15/NºAsuntos!G15)*11)/factor_trimestre," - ")</f>
        <v>1.8618391825855174</v>
      </c>
      <c r="AN15" s="247">
        <f>IF(ISNUMBER('Resol  Asuntos'!D15/NºAsuntos!G15),'Resol  Asuntos'!D15/NºAsuntos!G15," - ")</f>
        <v>0.18743596950108343</v>
      </c>
      <c r="AO15" s="248">
        <f>IF(ISNUMBER((NºAsuntos!C15+NºAsuntos!E15)/NºAsuntos!G15),(NºAsuntos!C15+NºAsuntos!E15)/NºAsuntos!G15," - ")</f>
        <v>1.1486867514664685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5</v>
      </c>
      <c r="B17" s="278" t="s">
        <v>396</v>
      </c>
      <c r="C17" s="7" t="str">
        <f>Datos!A17</f>
        <v>Jdos. Violencia contra la mujer</v>
      </c>
      <c r="D17" s="7"/>
      <c r="E17" s="1028">
        <f>IF(ISNUMBER(Datos!AQ17),Datos!AQ17," - ")</f>
        <v>5</v>
      </c>
      <c r="F17" s="228" t="str">
        <f>IF(ISNUMBER(AA17+W17-H17-K17),AA17+W17-H17-K17," - ")</f>
        <v xml:space="preserve"> - </v>
      </c>
      <c r="G17" s="336">
        <f>IF(ISNUMBER(IF(D_I="SI",Datos!I17,Datos!I17+Datos!AC17)),IF(D_I="SI",Datos!I17,Datos!I17+Datos!AC17)," - ")</f>
        <v>1438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7335</v>
      </c>
      <c r="X17" s="229">
        <f>IF(ISNUMBER(Datos!Q17),Datos!Q17," - ")</f>
        <v>24</v>
      </c>
      <c r="Y17" s="337">
        <f t="shared" si="7"/>
        <v>7359</v>
      </c>
      <c r="Z17" s="338" t="str">
        <f>IF(ISNUMBER(Datos!CC17),Datos!CC17," - ")</f>
        <v xml:space="preserve"> - </v>
      </c>
      <c r="AA17" s="335">
        <f>IF(ISNUMBER(Datos!L17),Datos!L17,"-")</f>
        <v>1803</v>
      </c>
      <c r="AB17" s="337">
        <f>IF(ISNUMBER(Datos!R17),Datos!R17," - ")</f>
        <v>19</v>
      </c>
      <c r="AC17" s="337">
        <f t="shared" si="6"/>
        <v>1822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130</v>
      </c>
      <c r="AJ17" s="234" t="str">
        <f>IF(ISNUMBER(Datos!BW17),Datos!BW17," - ")</f>
        <v xml:space="preserve"> - </v>
      </c>
      <c r="AK17" s="235" t="str">
        <f>IF(ISNUMBER(Datos!BX17),Datos!BX17," - ")</f>
        <v xml:space="preserve"> - </v>
      </c>
      <c r="AL17" s="246">
        <f>IF(ISNUMBER(NºAsuntos!G17/NºAsuntos!E17),NºAsuntos!G17/NºAsuntos!E17," - ")</f>
        <v>0.95894888220682439</v>
      </c>
      <c r="AM17" s="263">
        <f>IF(ISNUMBER(((NºAsuntos!I17/NºAsuntos!G17)*11)/factor_trimestre),((NºAsuntos!I17/NºAsuntos!G17)*11)/factor_trimestre," - ")</f>
        <v>2.7038854805725974</v>
      </c>
      <c r="AN17" s="247">
        <f>IF(ISNUMBER('Resol  Asuntos'!D17/NºAsuntos!G17),'Resol  Asuntos'!D17/NºAsuntos!G17," - ")</f>
        <v>1.7723244717109749E-2</v>
      </c>
      <c r="AO17" s="248">
        <f>IF(ISNUMBER((NºAsuntos!C17+NºAsuntos!E17)/NºAsuntos!G17),(NºAsuntos!C17+NºAsuntos!E17)/NºAsuntos!G17," - ")</f>
        <v>1.2388548057259714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38</v>
      </c>
      <c r="F18" s="868">
        <f>SUBTOTAL(9,F14:F17)</f>
        <v>17053</v>
      </c>
      <c r="G18" s="869">
        <f>SUBTOTAL(9,G15:G17)</f>
        <v>16222</v>
      </c>
      <c r="H18" s="868">
        <f t="shared" ref="H18:O18" si="10">SUBTOTAL(9,H14:H17)</f>
        <v>0</v>
      </c>
      <c r="I18" s="870">
        <f t="shared" si="10"/>
        <v>0</v>
      </c>
      <c r="J18" s="870">
        <f t="shared" si="10"/>
        <v>0</v>
      </c>
      <c r="K18" s="870">
        <f t="shared" si="10"/>
        <v>0</v>
      </c>
      <c r="L18" s="870">
        <f t="shared" si="10"/>
        <v>9724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117634</v>
      </c>
      <c r="X18" s="870">
        <f t="shared" si="11"/>
        <v>9747</v>
      </c>
      <c r="Y18" s="871">
        <f t="shared" si="11"/>
        <v>117658</v>
      </c>
      <c r="Z18" s="871">
        <f t="shared" si="11"/>
        <v>0</v>
      </c>
      <c r="AA18" s="871">
        <f t="shared" si="11"/>
        <v>20472</v>
      </c>
      <c r="AB18" s="871">
        <f t="shared" si="11"/>
        <v>3953</v>
      </c>
      <c r="AC18" s="871">
        <f t="shared" si="11"/>
        <v>24425</v>
      </c>
      <c r="AD18" s="871">
        <f t="shared" si="11"/>
        <v>0</v>
      </c>
      <c r="AE18" s="875">
        <f t="shared" si="11"/>
        <v>0</v>
      </c>
      <c r="AF18" s="868">
        <f t="shared" si="11"/>
        <v>0</v>
      </c>
      <c r="AG18" s="876">
        <f t="shared" si="11"/>
        <v>0</v>
      </c>
      <c r="AH18" s="873">
        <f t="shared" si="11"/>
        <v>0</v>
      </c>
      <c r="AI18" s="868">
        <f t="shared" si="11"/>
        <v>20804</v>
      </c>
      <c r="AJ18" s="870">
        <f t="shared" si="11"/>
        <v>0</v>
      </c>
      <c r="AK18" s="873">
        <f t="shared" si="11"/>
        <v>0</v>
      </c>
      <c r="AL18" s="877">
        <f>IF(ISNUMBER(NºAsuntos!G18/NºAsuntos!E18),NºAsuntos!G18/NºAsuntos!E18," - ")</f>
        <v>0.98385801746345058</v>
      </c>
      <c r="AM18" s="877">
        <f>IF(ISNUMBER(((NºAsuntos!I18/NºAsuntos!G18)*11)/factor_trimestre),((NºAsuntos!I18/NºAsuntos!G18)*11)/factor_trimestre," - ")</f>
        <v>1.9143444922386386</v>
      </c>
      <c r="AN18" s="878">
        <f>IF(ISNUMBER('Resol  Asuntos'!D18/NºAsuntos!G18),'Resol  Asuntos'!D18/NºAsuntos!G18," - ")</f>
        <v>0.17685363075301358</v>
      </c>
      <c r="AO18" s="879">
        <f>IF(ISNUMBER((NºAsuntos!C18+NºAsuntos!E18)/NºAsuntos!G18),(NºAsuntos!C18+NºAsuntos!E18)/NºAsuntos!G18," - ")</f>
        <v>1.1543091283132427</v>
      </c>
      <c r="AP18" s="880" t="str">
        <f t="shared" si="2"/>
        <v xml:space="preserve"> - </v>
      </c>
      <c r="AQ18" s="880">
        <f>IF(ISNUMBER((H18-W18+K18)/(F18)),(H18-W18+K18)/(F18)," - ")</f>
        <v>-6.898141089544362</v>
      </c>
      <c r="AR18" s="881">
        <f>IF(ISNUMBER((Datos!P18-Datos!Q18)/(Datos!R18-Datos!P18+Datos!Q18)),(Datos!P18-Datos!Q18)/(Datos!R18-Datos!P18+Datos!Q18)," - ")</f>
        <v>-5.7847082494969816E-3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104</v>
      </c>
      <c r="F19" s="823">
        <f t="shared" si="13"/>
        <v>17494</v>
      </c>
      <c r="G19" s="824">
        <f t="shared" si="13"/>
        <v>16663</v>
      </c>
      <c r="H19" s="823">
        <f t="shared" si="13"/>
        <v>0</v>
      </c>
      <c r="I19" s="825">
        <f t="shared" si="13"/>
        <v>0</v>
      </c>
      <c r="J19" s="825">
        <f t="shared" si="13"/>
        <v>0</v>
      </c>
      <c r="K19" s="884">
        <f t="shared" si="13"/>
        <v>0</v>
      </c>
      <c r="L19" s="825">
        <f t="shared" si="13"/>
        <v>30354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118433</v>
      </c>
      <c r="X19" s="824">
        <f t="shared" si="14"/>
        <v>34565</v>
      </c>
      <c r="Y19" s="831">
        <f t="shared" si="14"/>
        <v>143275</v>
      </c>
      <c r="Z19" s="831">
        <f t="shared" si="14"/>
        <v>0</v>
      </c>
      <c r="AA19" s="831">
        <f t="shared" si="14"/>
        <v>20998</v>
      </c>
      <c r="AB19" s="831">
        <f t="shared" si="14"/>
        <v>74947</v>
      </c>
      <c r="AC19" s="831">
        <f t="shared" si="14"/>
        <v>25540</v>
      </c>
      <c r="AD19" s="831">
        <f t="shared" si="14"/>
        <v>0</v>
      </c>
      <c r="AE19" s="833">
        <f t="shared" si="14"/>
        <v>0</v>
      </c>
      <c r="AF19" s="834">
        <f t="shared" si="14"/>
        <v>0</v>
      </c>
      <c r="AG19" s="835">
        <f t="shared" si="14"/>
        <v>0</v>
      </c>
      <c r="AH19" s="833">
        <f t="shared" si="14"/>
        <v>0</v>
      </c>
      <c r="AI19" s="823">
        <f t="shared" si="14"/>
        <v>48663</v>
      </c>
      <c r="AJ19" s="823">
        <f t="shared" si="14"/>
        <v>0</v>
      </c>
      <c r="AK19" s="833">
        <f t="shared" si="14"/>
        <v>0</v>
      </c>
      <c r="AL19" s="887">
        <f>IF(ISNUMBER(NºAsuntos!G19/NºAsuntos!E19),NºAsuntos!G19/NºAsuntos!E19," - ")</f>
        <v>0.97999017433909152</v>
      </c>
      <c r="AM19" s="888">
        <f>IF(ISNUMBER(((NºAsuntos!I19/NºAsuntos!G19)*11)/factor_trimestre),((NºAsuntos!I19/NºAsuntos!G19)*11)/factor_trimestre," - ")</f>
        <v>3.8345843608017414</v>
      </c>
      <c r="AN19" s="888">
        <f>IF(ISNUMBER('Resol  Asuntos'!D19/NºAsuntos!G19),'Resol  Asuntos'!D19/NºAsuntos!G19," - ")</f>
        <v>0.21977887976587268</v>
      </c>
      <c r="AO19" s="889">
        <f>IF(ISNUMBER((NºAsuntos!C19+NºAsuntos!E19)/NºAsuntos!G19),(NºAsuntos!C19+NºAsuntos!E19)/NºAsuntos!G19," - ")</f>
        <v>1.3380845279064937</v>
      </c>
      <c r="AP19" s="890" t="str">
        <f t="shared" si="2"/>
        <v xml:space="preserve"> - </v>
      </c>
      <c r="AQ19" s="891">
        <f>IF(OR(ISNUMBER(FIND("01",Criterios!A8,1)),ISNUMBER(FIND("02",Criterios!A8,1)),ISNUMBER(FIND("03",Criterios!A8,1)),ISNUMBER(FIND("04",Criterios!A8,1))),(I19-W19+K19)/(F19-K19),(H19-W19+K19)/(F19-K19))</f>
        <v>-6.769921115811135</v>
      </c>
      <c r="AR19" s="892">
        <f>IF(ISNUMBER((Datos!P19-Datos!Q19)/(Datos!R19-Datos!P19+Datos!Q19)),(Datos!P19-Datos!Q19)/(Datos!R19-Datos!P19+Datos!Q19)," - ")</f>
        <v>-5.3197402663028373E-2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6665.2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25.01221923602764</v>
      </c>
      <c r="F21" s="255">
        <f>IF(ISNUMBER(STDEV(F8:F18)),STDEV(F8:F18),"-")</f>
        <v>9590.9426717780625</v>
      </c>
      <c r="G21" s="256">
        <f>IF(ISNUMBER(STDEV(G8:G18)),STDEV(G8:G18),"-")</f>
        <v>8094.0146219289718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60904.856113449605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12132.643209049513</v>
      </c>
      <c r="AJ21" s="255">
        <f t="shared" si="18"/>
        <v>0</v>
      </c>
      <c r="AK21" s="257">
        <f t="shared" si="18"/>
        <v>0</v>
      </c>
      <c r="AL21" s="252">
        <f t="shared" si="18"/>
        <v>3.1271841400433688E-2</v>
      </c>
      <c r="AM21" s="253">
        <f t="shared" si="18"/>
        <v>2.2023194047430374</v>
      </c>
      <c r="AN21" s="253">
        <f t="shared" si="18"/>
        <v>0.14284644323238352</v>
      </c>
      <c r="AO21" s="254">
        <f t="shared" si="18"/>
        <v>0.20876597411395031</v>
      </c>
      <c r="AP21" s="294" t="str">
        <f t="shared" si="18"/>
        <v>-</v>
      </c>
      <c r="AQ21" s="295">
        <f t="shared" si="18"/>
        <v>3.596592368828194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9u5TlMaR3VjuO/2K/fPw4X2+YmhgSl61O8HiDRD1e6QORz8xgL76CDHiVvmW+hxaN2cZ2fzBsyIyVcjyyj5lsA==" saltValue="/3R4OjTc12LM98CSX5eN8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BARCELONA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-0.10102581194682073</v>
      </c>
      <c r="I9" s="353">
        <f>IF(ISNUMBER((Tasas!C9-Datos!BE9)/Datos!BE9),(Tasas!C9-Datos!BE9)/Datos!BE9," - ")</f>
        <v>3.3344337828886975E-2</v>
      </c>
      <c r="J9" s="352">
        <f>IF(ISNUMBER((Tasas!D9-Datos!BF9)/Datos!BF9),(Tasas!D9-Datos!BF9)/Datos!BF9," - ")</f>
        <v>-0.38320042679557803</v>
      </c>
      <c r="K9" s="354">
        <f>IF(ISNUMBER((Tasas!E9-Datos!BG9)/Datos!BG9),(Tasas!E9-Datos!BG9)/Datos!BG9," - ")</f>
        <v>-3.3428671231495732E-2</v>
      </c>
      <c r="M9" t="e">
        <f>IF(Monitorios="SI",Datos!CE9,0)</f>
        <v>#REF!</v>
      </c>
      <c r="N9" t="e">
        <f>IF(Monitorios="SI",Datos!CF9,0)</f>
        <v>#REF!</v>
      </c>
      <c r="O9" t="e">
        <f>IF(Monitorios="SI",Datos!CG9,0)</f>
        <v>#REF!</v>
      </c>
      <c r="P9" t="e">
        <f>IF(Monitorios="SI",Datos!CH9,0)</f>
        <v>#REF!</v>
      </c>
      <c r="Q9">
        <f>IF(J_V="SI",0,Datos!AG9)</f>
        <v>1569</v>
      </c>
      <c r="R9">
        <f>IF(J_V="SI",0,Datos!AH9)</f>
        <v>8136</v>
      </c>
      <c r="S9">
        <f>IF(J_V="SI",0,Datos!AI9)</f>
        <v>7728</v>
      </c>
      <c r="T9">
        <f>IF(J_V="SI",0,Datos!AJ9)</f>
        <v>1984</v>
      </c>
    </row>
    <row r="10" spans="2:20" ht="14.25">
      <c r="B10" s="278" t="s">
        <v>246</v>
      </c>
      <c r="C10" s="7" t="str">
        <f>Datos!A10</f>
        <v>Jdos. Violencia contra la mujer</v>
      </c>
      <c r="D10" s="355">
        <f>IF(ISNUMBER((Datos!I10-Datos!S10)/Datos!S10),(Datos!I10-Datos!S10)/Datos!S10," - ")</f>
        <v>6.7796610169491525E-2</v>
      </c>
      <c r="E10" s="351">
        <f>IF(ISNUMBER((Datos!J10-Datos!T10)/Datos!T10),(Datos!J10-Datos!T10)/Datos!T10," - ")</f>
        <v>8.8669950738916259E-2</v>
      </c>
      <c r="F10" s="351">
        <f>IF(ISNUMBER((Datos!K10-Datos!U10)/Datos!U10),(Datos!K10-Datos!U10)/Datos!U10," - ")</f>
        <v>6.1088977423638779E-2</v>
      </c>
      <c r="G10" s="352">
        <f>IF(ISNUMBER((Datos!L10-Datos!V10)/Datos!V10),(Datos!L10-Datos!V10)/Datos!V10," - ")</f>
        <v>0.1927437641723356</v>
      </c>
      <c r="H10" s="233">
        <f>IF(ISNUMBER((Datos!M10-Datos!W10)/Datos!W10),(Datos!M10-Datos!W10)/Datos!W10," - ")</f>
        <v>0.30204081632653063</v>
      </c>
      <c r="I10" s="353">
        <f>IF(ISNUMBER((Tasas!C10-Datos!BE10)/Datos!BE10),(Tasas!C10-Datos!BE10)/Datos!BE10," - ")</f>
        <v>0.12407516197968545</v>
      </c>
      <c r="J10" s="352">
        <f>IF(ISNUMBER((Tasas!D10-Datos!BF10)/Datos!BF10),(Tasas!D10-Datos!BF10)/Datos!BF10," - ")</f>
        <v>0.22707976807744379</v>
      </c>
      <c r="K10" s="354">
        <f>IF(ISNUMBER((Tasas!E10-Datos!BG10)/Datos!BG10),(Tasas!E10-Datos!BG10)/Datos!BG10," - ")</f>
        <v>1.9360935863707057E-2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-5.5539485102690196E-2</v>
      </c>
      <c r="I11" s="353">
        <f>IF(ISNUMBER((Tasas!C11-Datos!BE11)/Datos!BE11),(Tasas!C11-Datos!BE11)/Datos!BE11," - ")</f>
        <v>0.16247642160809031</v>
      </c>
      <c r="J11" s="352">
        <f>IF(ISNUMBER((Tasas!D11-Datos!BF11)/Datos!BF11),(Tasas!D11-Datos!BF11)/Datos!BF11," - ")</f>
        <v>0.69654538420587897</v>
      </c>
      <c r="K11" s="354">
        <f>IF(ISNUMBER((Tasas!E11-Datos!BG11)/Datos!BG11),(Tasas!E11-Datos!BG11)/Datos!BG11," - ")</f>
        <v>2.633777536494003E-2</v>
      </c>
      <c r="M11" t="e">
        <f>IF(Monitorios="SI",Datos!CE11,0)</f>
        <v>#REF!</v>
      </c>
      <c r="N11" t="e">
        <f>IF(Monitorios="SI",Datos!CF11,0)</f>
        <v>#REF!</v>
      </c>
      <c r="O11" t="e">
        <f>IF(Monitorios="SI",Datos!CG11,0)</f>
        <v>#REF!</v>
      </c>
      <c r="P11" t="e">
        <f>IF(Monitorios="SI",Datos!CH11,0)</f>
        <v>#REF!</v>
      </c>
      <c r="Q11">
        <f>IF(J_V="SI",0,Datos!AG11)</f>
        <v>118</v>
      </c>
      <c r="R11">
        <f>IF(J_V="SI",0,Datos!AH11)</f>
        <v>437</v>
      </c>
      <c r="S11">
        <f>IF(J_V="SI",0,Datos!AI11)</f>
        <v>423</v>
      </c>
      <c r="T11">
        <f>IF(J_V="SI",0,Datos!AJ11)</f>
        <v>135</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-9.2688487217065629E-2</v>
      </c>
      <c r="I13" s="360">
        <f>IF(ISNUMBER((Tasas!C13-Datos!BE13)/Datos!BE13),(Tasas!C13-Datos!BE13)/Datos!BE13," - ")</f>
        <v>4.2564245063979343E-2</v>
      </c>
      <c r="J13" s="358">
        <f>IF(ISNUMBER((Tasas!D13-Datos!BF13)/Datos!BF13),(Tasas!D13-Datos!BF13)/Datos!BF13," - ")</f>
        <v>-0.32785753758978708</v>
      </c>
      <c r="K13" s="361">
        <f>IF(ISNUMBER((Tasas!E13-Datos!BG13)/Datos!BG13),(Tasas!E13-Datos!BG13)/Datos!BG13," - ")</f>
        <v>-2.8405341839243311E-2</v>
      </c>
      <c r="M13" t="e">
        <f>IF(Monitorios="SI",Datos!CE13,0)</f>
        <v>#REF!</v>
      </c>
      <c r="N13" t="e">
        <f>IF(Monitorios="SI",Datos!CF13,0)</f>
        <v>#REF!</v>
      </c>
      <c r="O13" t="e">
        <f>IF(Monitorios="SI",Datos!CG13,0)</f>
        <v>#REF!</v>
      </c>
      <c r="P13" t="e">
        <f>IF(Monitorios="SI",Datos!CH13,0)</f>
        <v>#REF!</v>
      </c>
      <c r="Q13">
        <f>IF(J_V="SI",0,Datos!AG13)</f>
        <v>1687</v>
      </c>
      <c r="R13">
        <f>IF(J_V="SI",0,Datos!AH13)</f>
        <v>8573</v>
      </c>
      <c r="S13">
        <f>IF(J_V="SI",0,Datos!AI13)</f>
        <v>8151</v>
      </c>
      <c r="T13">
        <f>IF(J_V="SI",0,Datos!AJ13)</f>
        <v>2119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0.24907063197026022</v>
      </c>
      <c r="E15" s="351">
        <f>IF(ISNUMBER(
   IF(D_I="SI",(Datos!J15-Datos!T15)/Datos!T15,(Datos!J15+Datos!AD15-(Datos!T15+Datos!AL15))/(Datos!T15+Datos!AL15))
     ),IF(D_I="SI",(Datos!J15-Datos!T15)/Datos!T15,(Datos!J15+Datos!AD15-(Datos!T15+Datos!AL15))/(Datos!T15+Datos!AL15))," - ")</f>
        <v>0.14112812774027775</v>
      </c>
      <c r="F15" s="351">
        <f>IF(ISNUMBER(
   IF(D_I="SI",(Datos!K15-Datos!U15)/Datos!U15,(Datos!K15+Datos!AE15-(Datos!U15+Datos!AM15))/(Datos!U15+Datos!AM15))
     ),IF(D_I="SI",(Datos!K15-Datos!U15)/Datos!U15,(Datos!K15+Datos!AE15-(Datos!U15+Datos!AM15))/(Datos!U15+Datos!AM15))," - ")</f>
        <v>0.13288688489230802</v>
      </c>
      <c r="G15" s="352">
        <f>IF(ISNUMBER(
   IF(D_I="SI",(Datos!L15-Datos!V15)/Datos!V15,(Datos!L15+Datos!AF15-(Datos!V15+Datos!AN15))/(Datos!V15+Datos!AN15))
     ),IF(D_I="SI",(Datos!L15-Datos!V15)/Datos!V15,(Datos!L15+Datos!AF15-(Datos!V15+Datos!AN15))/(Datos!V15+Datos!AN15))," - ")</f>
        <v>0.26278409090909088</v>
      </c>
      <c r="H15" s="233">
        <f>IF(ISNUMBER((Datos!M15-Datos!W15)/Datos!W15),(Datos!M15-Datos!W15)/Datos!W15," - ")</f>
        <v>0.1547785287382003</v>
      </c>
      <c r="I15" s="353">
        <f>IF(ISNUMBER((Tasas!C15-Datos!BE15)/Datos!BE15),(Tasas!C15-Datos!BE15)/Datos!BE15," - ")</f>
        <v>0.11466034936853466</v>
      </c>
      <c r="J15" s="352">
        <f>IF(ISNUMBER((Tasas!D15-Datos!BF15)/Datos!BF15),(Tasas!D15-Datos!BF15)/Datos!BF15," - ")</f>
        <v>1.9323768451934616E-2</v>
      </c>
      <c r="K15" s="354">
        <f>IF(ISNUMBER((Tasas!E15-Datos!BG15)/Datos!BG15),(Tasas!E15-Datos!BG15)/Datos!BG15," - ")</f>
        <v>1.753517250047169E-2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5.657604702424688E-2</v>
      </c>
      <c r="E17" s="351">
        <f>IF(ISNUMBER(
   IF(D_I="SI",(Datos!J17-Datos!T17)/Datos!T17,(Datos!J17+Datos!AD17-(Datos!T17+Datos!AL17))/(Datos!T17+Datos!AL17))
     ),IF(D_I="SI",(Datos!J17-Datos!T17)/Datos!T17,(Datos!J17+Datos!AD17-(Datos!T17+Datos!AL17))/(Datos!T17+Datos!AL17))," - ")</f>
        <v>0.16440858578170192</v>
      </c>
      <c r="F17" s="351">
        <f>IF(ISNUMBER(
   IF(D_I="SI",(Datos!K17-Datos!U17)/Datos!U17,(Datos!K17+Datos!AE17-(Datos!U17+Datos!AM17))/(Datos!U17+Datos!AM17))
     ),IF(D_I="SI",(Datos!K17-Datos!U17)/Datos!U17,(Datos!K17+Datos!AE17-(Datos!U17+Datos!AM17))/(Datos!U17+Datos!AM17))," - ")</f>
        <v>0.12036047044447838</v>
      </c>
      <c r="G17" s="352">
        <f>IF(ISNUMBER(
   IF(D_I="SI",(Datos!L17-Datos!V17)/Datos!V17,(Datos!L17+Datos!AF17-(Datos!V17+Datos!AN17))/(Datos!V17+Datos!AN17))
     ),IF(D_I="SI",(Datos!L17-Datos!V17)/Datos!V17,(Datos!L17+Datos!AF17-(Datos!V17+Datos!AN17))/(Datos!V17+Datos!AN17))," - ")</f>
        <v>0.25382475660639775</v>
      </c>
      <c r="H17" s="233">
        <f>IF(ISNUMBER((Datos!M17-Datos!W17)/Datos!W17),(Datos!M17-Datos!W17)/Datos!W17," - ")</f>
        <v>0.27450980392156865</v>
      </c>
      <c r="I17" s="353">
        <f>IF(ISNUMBER((Tasas!C17-Datos!BE17)/Datos!BE17),(Tasas!C17-Datos!BE17)/Datos!BE17," - ")</f>
        <v>0.11912620061378133</v>
      </c>
      <c r="J17" s="352">
        <f>IF(ISNUMBER((Tasas!D17-Datos!BF17)/Datos!BF17),(Tasas!D17-Datos!BF17)/Datos!BF17," - ")</f>
        <v>0.13758905061683852</v>
      </c>
      <c r="K17" s="354">
        <f>IF(ISNUMBER((Tasas!E17-Datos!BG17)/Datos!BG17),(Tasas!E17-Datos!BG17)/Datos!BG17," - ")</f>
        <v>2.2797277816889575E-2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0.22921876183981207</v>
      </c>
      <c r="E18" s="357">
        <f>IF(ISNUMBER(
   IF(D_I="SI",(Datos!J18-Datos!T18)/Datos!T18,(Datos!J18+Datos!AD18-(Datos!T18+Datos!AL18))/(Datos!T18+Datos!AL18))
     ),IF(D_I="SI",(Datos!J18-Datos!T18)/Datos!T18,(Datos!J18+Datos!AD18-(Datos!T18+Datos!AL18))/(Datos!T18+Datos!AL18))," - ")</f>
        <v>0.14258956643062604</v>
      </c>
      <c r="F18" s="357">
        <f>IF(ISNUMBER(
   IF(D_I="SI",(Datos!K18-Datos!U18)/Datos!U18,(Datos!K18+Datos!AE18-(Datos!U18+Datos!AM18))/(Datos!U18+Datos!AM18))
     ),IF(D_I="SI",(Datos!K18-Datos!U18)/Datos!U18,(Datos!K18+Datos!AE18-(Datos!U18+Datos!AM18))/(Datos!U18+Datos!AM18))," - ")</f>
        <v>0.13209762482195789</v>
      </c>
      <c r="G18" s="358">
        <f>IF(ISNUMBER(
   IF(D_I="SI",(Datos!L18-Datos!V18)/Datos!V18,(Datos!L18+Datos!AF18-(Datos!V18+Datos!AN18))/(Datos!V18+Datos!AN18))
     ),IF(D_I="SI",(Datos!L18-Datos!V18)/Datos!V18,(Datos!L18+Datos!AF18-(Datos!V18+Datos!AN18))/(Datos!V18+Datos!AN18))," - ")</f>
        <v>0.26198989027246949</v>
      </c>
      <c r="H18" s="359">
        <f>IF(ISNUMBER((Datos!M18-Datos!W18)/Datos!W18),(Datos!M18-Datos!W18)/Datos!W18," - ")</f>
        <v>0.15545681755068036</v>
      </c>
      <c r="I18" s="360">
        <f>IF(ISNUMBER((Tasas!C18-Datos!BE18)/Datos!BE18),(Tasas!C18-Datos!BE18)/Datos!BE18," - ")</f>
        <v>0.11473592259407796</v>
      </c>
      <c r="J18" s="358">
        <f>IF(ISNUMBER((Tasas!D18-Datos!BF18)/Datos!BF18),(Tasas!D18-Datos!BF18)/Datos!BF18," - ")</f>
        <v>2.0633549807505456E-2</v>
      </c>
      <c r="K18" s="361">
        <f>IF(ISNUMBER((Tasas!E18-Datos!BG18)/Datos!BG18),(Tasas!E18-Datos!BG18)/Datos!BG18," - ")</f>
        <v>1.7837346442400127E-2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-0.11283629529659574</v>
      </c>
      <c r="E19" s="366">
        <f>IF(ISNUMBER(
   IF(J_V="SI",(Datos!J19-Datos!T19)/Datos!T19,(Datos!J19+Datos!Z19-(Datos!T19+Datos!AH19))/(Datos!T19+Datos!AH19))
     ),IF(J_V="SI",(Datos!J19-Datos!T19)/Datos!T19,(Datos!J19+Datos!Z19-(Datos!T19+Datos!AH19))/(Datos!T19+Datos!AH19))," - ")</f>
        <v>0.11366929879040606</v>
      </c>
      <c r="F19" s="366">
        <f>IF(ISNUMBER(
   IF(J_V="SI",(Datos!K19-Datos!U19)/Datos!U19,(Datos!K19+Datos!AA19-(Datos!U19+Datos!AI19))/(Datos!U19+Datos!AI19))
     ),IF(J_V="SI",(Datos!K19-Datos!U19)/Datos!U19,(Datos!K19+Datos!AA19-(Datos!U19+Datos!AI19))/(Datos!U19+Datos!AI19))," - ")</f>
        <v>6.8872465013444295E-2</v>
      </c>
      <c r="G19" s="367">
        <f>IF(ISNUMBER(
   IF(J_V="SI",(Datos!L19-Datos!V19)/Datos!V19,(Datos!L19+Datos!AB19-(Datos!V19+Datos!AJ19))/(Datos!V19+Datos!AJ19))
     ),IF(J_V="SI",(Datos!L19-Datos!V19)/Datos!V19,(Datos!L19+Datos!AB19-(Datos!V19+Datos!AJ19))/(Datos!V19+Datos!AJ19))," - ")</f>
        <v>9.7374070546085281E-2</v>
      </c>
      <c r="H19" s="368">
        <f>IF(ISNUMBER((Datos!M19-Datos!W19)/Datos!W19),(Datos!M19-Datos!W19)/Datos!W19," - ")</f>
        <v>-9.6489427222336277E-4</v>
      </c>
      <c r="I19" s="365">
        <f>IF(ISNUMBER((Tasas!C19-Datos!BE19)/Datos!BE19),(Tasas!C19-Datos!BE19)/Datos!BE19," - ")</f>
        <v>2.6665113440154351E-2</v>
      </c>
      <c r="J19" s="366">
        <f>IF(ISNUMBER((Tasas!D19-Datos!BF19)/Datos!BF19),(Tasas!D19-Datos!BF19)/Datos!BF19," - ")</f>
        <v>-0.23143618477673938</v>
      </c>
      <c r="K19" s="367">
        <f>IF(ISNUMBER((Tasas!E19-Datos!BG19)/Datos!BG19),(Tasas!E19-Datos!BG19)/Datos!BG19," - ")</f>
        <v>-1.7633379381423838E-2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0.10259022534136339</v>
      </c>
      <c r="E21" s="281">
        <f t="shared" si="1"/>
        <v>3.2165860867150953E-2</v>
      </c>
      <c r="F21" s="281">
        <f t="shared" si="1"/>
        <v>3.4163299253238737E-2</v>
      </c>
      <c r="G21" s="282">
        <f t="shared" si="1"/>
        <v>3.3639177085134565E-2</v>
      </c>
      <c r="H21" s="288">
        <f t="shared" si="1"/>
        <v>0.17249425563974283</v>
      </c>
      <c r="I21" s="280">
        <f t="shared" si="1"/>
        <v>4.6557157594519061E-2</v>
      </c>
      <c r="J21" s="281">
        <f t="shared" si="1"/>
        <v>0.36264364898478396</v>
      </c>
      <c r="K21" s="282">
        <f t="shared" si="1"/>
        <v>2.5448702401729022E-2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gFGlcGCu99qglelIRCfPWC9DSoNJxnBOstqvz6k5Uwde8l42QHjwlrY7kUeq/lZu3GTxiTGq3MKxm2ybwyG+A==" saltValue="CcMo1q4wncBtt8Qs/fCWD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